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CAMINHÕES - 3 PRANCHAS - 17 TRATORES - REBOQUES - CARREGADEIRAS - COLHEDORAS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=HYPERLINK("https://leilaoonline.com.br/lote/detalhe/190968", "129")</f>
      </c>
      <c r="B11" s="4" t="s">
        <f>=HYPERLINK("https://leilaoonline.com.br/lote/detalhe/190968", " SISTEMA ADIABÁTICO SALAO DO ALIN COM DUTOS DE AR. - LOC. TARUMÃ")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=HYPERLINK("https://leilaoonline.com.br/lote/detalhe/190970", "133")</f>
      </c>
      <c r="B12" s="4" t="s">
        <f>=HYPERLINK("https://leilaoonline.com.br/lote/detalhe/190970", " 02 ROSCA HELIOCIDAL. - S/FR. - LOC. TARUMÃ ")</f>
      </c>
      <c r="C12" s="4" t="inlineStr">
        <is>
          <t>Vendido</t>
        </is>
      </c>
      <c r="D12" s="4" t="inlineStr">
        <is>
          <t>4</t>
        </is>
      </c>
      <c r="E12" s="5" t="inlineStr">
        <is>
          <t>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=HYPERLINK("https://leilaoonline.com.br/lote/detalhe/190971", "135")</f>
      </c>
      <c r="B13" s="4" t="s">
        <f>=HYPERLINK("https://leilaoonline.com.br/lote/detalhe/190971", " FILTRO BC-20 MATERIAL 4240, PLACA DE MANOBRA PARA VALVULA SANITARIA. - S/FR. - LOC. TARUMÃ")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=HYPERLINK("https://leilaoonline.com.br/lote/detalhe/190590", "140")</f>
      </c>
      <c r="B14" s="4" t="s">
        <f>=HYPERLINK("https://leilaoonline.com.br/lote/detalhe/190590", " BANCO DE RESISTORES PEQUENO - 1 PALLET COM 18 LUMINÁRIAS DE 24VCC E 1 PALLET COM BANCO DE CAPACITOR DE BAIXA TENSÃO. - LOC. TARUMÃ")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=HYPERLINK("https://leilaoonline.com.br/lote/detalhe/190967", "186")</f>
      </c>
      <c r="B15" s="4" t="s">
        <f>=HYPERLINK("https://leilaoonline.com.br/lote/detalhe/190967", " PAINEL DE COMANDO C/05 PORTAS 4,00X0,50X2,00M E TRANSFORMADOR MOD.FRE CAPAC. 50KWA. - FR189260 / FR160021. - LOC. TARUMÃ")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=HYPERLINK("https://leilaoonline.com.br/lote/detalhe/192684", "200")</f>
      </c>
      <c r="B16" s="4" t="s">
        <f>=HYPERLINK("https://leilaoonline.com.br/lote/detalhe/192684", "FIAT/ DOBLO ELX 1.4, ANO 2010/2011, BRANCA - LOC: AEROPORTO DE GUARULHOS (AGUA)")</f>
      </c>
      <c r="C16" s="4" t="inlineStr">
        <is>
          <t>Vendido</t>
        </is>
      </c>
      <c r="D16" s="4" t="inlineStr">
        <is>
          <t>30</t>
        </is>
      </c>
      <c r="E16" s="5" t="inlineStr">
        <is>
          <t>24.500,00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=HYPERLINK("https://leilaoonline.com.br/lote/detalhe/192685", "201")</f>
      </c>
      <c r="B17" s="4" t="s">
        <f>=HYPERLINK("https://leilaoonline.com.br/lote/detalhe/192685", "GM/ S10 ADVANTAGE D, ANO 2009/2010, BRANCA - FR1546 - LOC: AEROPORTO DE GUARARAPES - RECIFE (AREC)")</f>
      </c>
      <c r="C17" s="4" t="inlineStr">
        <is>
          <t>Vendido</t>
        </is>
      </c>
      <c r="D17" s="4" t="inlineStr">
        <is>
          <t>39</t>
        </is>
      </c>
      <c r="E17" s="5" t="inlineStr">
        <is>
          <t>47.556,00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=HYPERLINK("https://leilaoonline.com.br/lote/detalhe/192686", "202")</f>
      </c>
      <c r="B18" s="4" t="s">
        <f>=HYPERLINK("https://leilaoonline.com.br/lote/detalhe/192686", "VW/ NOVO VOYAGE CL MBV, ANO 2017/2017, BRANCA - LOC: AEROPORTO DE GUARARAPES - RECIFE (AREC)")</f>
      </c>
      <c r="C18" s="4" t="inlineStr">
        <is>
          <t>Vendido</t>
        </is>
      </c>
      <c r="D18" s="4" t="inlineStr">
        <is>
          <t>44</t>
        </is>
      </c>
      <c r="E18" s="5" t="inlineStr">
        <is>
          <t>36.000,00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=HYPERLINK("https://leilaoonline.com.br/lote/detalhe/191222", "596")</f>
      </c>
      <c r="B19" s="4" t="s">
        <f>=HYPERLINK("https://leilaoonline.com.br/lote/detalhe/191222", " TRANSBORDO DE CANA CIVEMASA; ANO 2010. - FR13004174. - LOC. MB")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=HYPERLINK("https://leilaoonline.com.br/lote/detalhe/191218", "597")</f>
      </c>
      <c r="B20" s="4" t="s">
        <f>=HYPERLINK("https://leilaoonline.com.br/lote/detalhe/191218", " TRANSBORDO DE CANA CIVEMASA; ANO 2010. - FR13004179. - LOC. MB")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=HYPERLINK("https://leilaoonline.com.br/lote/detalhe/191224", "601")</f>
      </c>
      <c r="B21" s="4" t="s">
        <f>=HYPERLINK("https://leilaoonline.com.br/lote/detalhe/191224", " TRANSBORDO DE CANA CIVEMASA; ANO 2010. - FR13003065. - LOC. MB")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=HYPERLINK("https://leilaoonline.com.br/lote/detalhe/191210", "603")</f>
      </c>
      <c r="B22" s="4" t="s">
        <f>=HYPERLINK("https://leilaoonline.com.br/lote/detalhe/191210", " TRANSBORDO DE CANA CIVEMASA; ANO 2010. - FR13003064. - LOC. MB")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=HYPERLINK("https://leilaoonline.com.br/lote/detalhe/192032", "628")</f>
      </c>
      <c r="B23" s="4" t="s">
        <f>=HYPERLINK("https://leilaoonline.com.br/lote/detalhe/192032", "PRANCHA SEMI REBOQUE RODOLINEA SRPR 2E, ANO 2010/2010 - AZUL - FR14004589 - LOC. SANTA ELISA")</f>
      </c>
      <c r="C23" s="4" t="inlineStr">
        <is>
          <t>Não vendido</t>
        </is>
      </c>
      <c r="D23" s="4" t="inlineStr">
        <is>
          <t>123</t>
        </is>
      </c>
      <c r="E23" s="5" t="inlineStr">
        <is>
          <t>153.000,00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=HYPERLINK("https://leilaoonline.com.br/lote/detalhe/191121", "987")</f>
      </c>
      <c r="B24" s="4" t="s">
        <f>=HYPERLINK("https://leilaoonline.com.br/lote/detalhe/191121", " COLHEDORA JOHN DEERE 3522 2L, ANO 2013, FR9002032, LOC. RIO BRILHANTE")</f>
      </c>
      <c r="C24" s="4" t="inlineStr">
        <is>
          <t>Vendido</t>
        </is>
      </c>
      <c r="D24" s="4" t="inlineStr">
        <is>
          <t>3</t>
        </is>
      </c>
      <c r="E24" s="5" t="inlineStr">
        <is>
          <t>27.000,00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=HYPERLINK("https://leilaoonline.com.br/lote/detalhe/190642", "1011")</f>
      </c>
      <c r="B25" s="4" t="s">
        <f>=HYPERLINK("https://leilaoonline.com.br/lote/detalhe/190642", " REBOQUE RANDONSP RQ CA; ANO 2010/2010; AZUL (VENDA SEM EIXO E SEM RODAS). - FR46873. - LOC. IPAUSSU")</f>
      </c>
      <c r="C25" s="4" t="inlineStr">
        <is>
          <t>Vendido</t>
        </is>
      </c>
      <c r="D25" s="4" t="inlineStr">
        <is>
          <t>4</t>
        </is>
      </c>
      <c r="E25" s="5" t="inlineStr">
        <is>
          <t>28.000,00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=HYPERLINK("https://leilaoonline.com.br/lote/detalhe/190513", "1056")</f>
      </c>
      <c r="B26" s="4" t="s">
        <f>=HYPERLINK("https://leilaoonline.com.br/lote/detalhe/190513", " COLHEDORA JOHN DEERE,ANO 2010; (SUCATEADA). - FR50145. - LOC. DIAMANTE")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=HYPERLINK("https://leilaoonline.com.br/lote/detalhe/191136", "1250")</f>
      </c>
      <c r="B27" s="4" t="s">
        <f>=HYPERLINK("https://leilaoonline.com.br/lote/detalhe/191136", " FIAT/PALIO FIRE WAY, ANO 2016/2016, BRANCA, FR4425073, LOC. CAARAPÓ")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=HYPERLINK("https://leilaoonline.com.br/lote/detalhe/191377", "1299")</f>
      </c>
      <c r="B28" s="4" t="s">
        <f>=HYPERLINK("https://leilaoonline.com.br/lote/detalhe/191377", " PÁ CARREGADEIRA CATERPILAR CAT 938H; ANO 2011 (DESMONTADA FALTANDO DIVERSAS PEÇAS). - FR93390. - LOC. JUNQUEIRA")</f>
      </c>
      <c r="C28" s="4" t="inlineStr">
        <is>
          <t>Vendido</t>
        </is>
      </c>
      <c r="D28" s="4" t="inlineStr">
        <is>
          <t>38</t>
        </is>
      </c>
      <c r="E28" s="5" t="inlineStr">
        <is>
          <t>62.000,00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=HYPERLINK("https://leilaoonline.com.br/lote/detalhe/191388", "1371")</f>
      </c>
      <c r="B29" s="4" t="s">
        <f>=HYPERLINK("https://leilaoonline.com.br/lote/detalhe/191388", " TRATOR CARREGADEIRA VALTRA; ANO 2006. - FR11002104. - LOC. VALE DO ROSÁRIO ")</f>
      </c>
      <c r="C29" s="4" t="inlineStr">
        <is>
          <t>Não vendido</t>
        </is>
      </c>
      <c r="D29" s="4" t="inlineStr">
        <is>
          <t>126</t>
        </is>
      </c>
      <c r="E29" s="5" t="inlineStr">
        <is>
          <t>184.000,00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=HYPERLINK("https://leilaoonline.com.br/lote/detalhe/190677", "3646")</f>
      </c>
      <c r="B30" s="4" t="s">
        <f>=HYPERLINK("https://leilaoonline.com.br/lote/detalhe/190677", " TRANSBORDO SANTAL; ANO 2015. - FR17318. - LOC.SANTA CÂNDIDA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=HYPERLINK("https://leilaoonline.com.br/lote/detalhe/190966", "3685")</f>
      </c>
      <c r="B31" s="4" t="s">
        <f>=HYPERLINK("https://leilaoonline.com.br/lote/detalhe/190966", " SEMI REBOQUE RANDON SR CA 11,80 M, ANO 2007/2007; AZUL. - FR91175. - LOC. SANTA CANDIDA")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=HYPERLINK("https://leilaoonline.com.br/lote/detalhe/190948", "3706")</f>
      </c>
      <c r="B32" s="4" t="s">
        <f>=HYPERLINK("https://leilaoonline.com.br/lote/detalhe/190948", " SUCATA DE SAVEIRO. - FR501389. - LOC. SANTA CANDIDA")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=HYPERLINK("https://leilaoonline.com.br/lote/detalhe/190949", "3709")</f>
      </c>
      <c r="B33" s="4" t="s">
        <f>=HYPERLINK("https://leilaoonline.com.br/lote/detalhe/190949", " DESENLEIRADOR DE PALHA. - FR1101. - LOC. BIOMASSA")</f>
      </c>
      <c r="C33" s="4" t="inlineStr">
        <is>
          <t>Não vendido</t>
        </is>
      </c>
      <c r="D33" s="4" t="inlineStr">
        <is>
          <t>39</t>
        </is>
      </c>
      <c r="E33" s="5" t="inlineStr">
        <is>
          <t>27.000,00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=HYPERLINK("https://leilaoonline.com.br/lote/detalhe/192542", "3740")</f>
      </c>
      <c r="B34" s="4" t="s">
        <f>=HYPERLINK("https://leilaoonline.com.br/lote/detalhe/192542", "TRANSBORDO GIGANTE BR 22000, MOD. TESTON, ANO 2017, FR4445275 - LOC: RIO BRILHANTE")</f>
      </c>
      <c r="C34" s="4" t="inlineStr">
        <is>
          <t>Vendido</t>
        </is>
      </c>
      <c r="D34" s="4" t="inlineStr">
        <is>
          <t>71</t>
        </is>
      </c>
      <c r="E34" s="5" t="inlineStr">
        <is>
          <t>105.000,00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=HYPERLINK("https://leilaoonline.com.br/lote/detalhe/190955", "4061")</f>
      </c>
      <c r="B35" s="4" t="s">
        <f>=HYPERLINK("https://leilaoonline.com.br/lote/detalhe/190955", " SEMI REBOQUE RANDON SRCA CA 12,50 M; ANO 2008/2008; AZUL. - FR121422. - LOC. BONFIM")</f>
      </c>
      <c r="C35" s="4" t="inlineStr">
        <is>
          <t>Vendido</t>
        </is>
      </c>
      <c r="D35" s="4" t="inlineStr">
        <is>
          <t>11</t>
        </is>
      </c>
      <c r="E35" s="5" t="inlineStr">
        <is>
          <t>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=HYPERLINK("https://leilaoonline.com.br/lote/detalhe/190965", "4073")</f>
      </c>
      <c r="B36" s="4" t="s">
        <f>=HYPERLINK("https://leilaoonline.com.br/lote/detalhe/190965", " CARRETA DISTRIBUIDORA DE TORTA SPANDER; ANO 2011. - FR57308. - LOC. ARARAQUARA ")</f>
      </c>
      <c r="C36" s="4" t="inlineStr">
        <is>
          <t>Vendido</t>
        </is>
      </c>
      <c r="D36" s="4" t="inlineStr">
        <is>
          <t>5</t>
        </is>
      </c>
      <c r="E36" s="5" t="inlineStr">
        <is>
          <t>2.100,00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=HYPERLINK("https://leilaoonline.com.br/lote/detalhe/190488", "5015")</f>
      </c>
      <c r="B37" s="4" t="s">
        <f>=HYPERLINK("https://leilaoonline.com.br/lote/detalhe/190488", " ADUBADEIRA, MARCA: JUMIL, MOD: JM3520SH; ANO 2011. - FR57304. - LOC. BOM RETIRO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=HYPERLINK("https://leilaoonline.com.br/lote/detalhe/190489", "5016")</f>
      </c>
      <c r="B38" s="4" t="s">
        <f>=HYPERLINK("https://leilaoonline.com.br/lote/detalhe/190489", " ADUBADEIRA JUMIL; MOD. JM3520SH; ANO 2012 (TOMBADO). - FR57318. - LOC. BOM RETIRO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=HYPERLINK("https://leilaoonline.com.br/lote/detalhe/190523", "5017")</f>
      </c>
      <c r="B39" s="4" t="s">
        <f>=HYPERLINK("https://leilaoonline.com.br/lote/detalhe/190523", " ADUBADEIRA, MARCA: JUMIL; MOD. JM3520SH; ANO 2012. - FR57317. - LOC. BOM RETIRO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=HYPERLINK("https://leilaoonline.com.br/lote/detalhe/190619", "5022")</f>
      </c>
      <c r="B40" s="4" t="s">
        <f>=HYPERLINK("https://leilaoonline.com.br/lote/detalhe/190619", " REBOQUE RANDON RQ CA, ANO 2002/2002, AZUL. - FR10205. - LOC. BOM RETIRO ")</f>
      </c>
      <c r="C40" s="4" t="inlineStr">
        <is>
          <t>Vendido</t>
        </is>
      </c>
      <c r="D40" s="4" t="inlineStr">
        <is>
          <t>2</t>
        </is>
      </c>
      <c r="E40" s="5" t="inlineStr">
        <is>
          <t>16.000,00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=HYPERLINK("https://leilaoonline.com.br/lote/detalhe/190504", "5023")</f>
      </c>
      <c r="B41" s="4" t="s">
        <f>=HYPERLINK("https://leilaoonline.com.br/lote/detalhe/190504", " CAMINHÃO MERCEDES BENZ L 2219; ANO 1986/1986; BRANCA. - FR22113. - LOC. BOM RETIRO")</f>
      </c>
      <c r="C41" s="4" t="inlineStr">
        <is>
          <t>Vendido</t>
        </is>
      </c>
      <c r="D41" s="4" t="inlineStr">
        <is>
          <t>12</t>
        </is>
      </c>
      <c r="E41" s="5" t="inlineStr">
        <is>
          <t>26.000,00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=HYPERLINK("https://leilaoonline.com.br/lote/detalhe/190636", "5028")</f>
      </c>
      <c r="B42" s="4" t="s">
        <f>=HYPERLINK("https://leilaoonline.com.br/lote/detalhe/190636", " REBOQUE SOUFER CA 2E; ANO 2012/2012; CINZA. - FR91589. - LOC. BOM RETIRO 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47.000,00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=HYPERLINK("https://leilaoonline.com.br/lote/detalhe/190964", "5035")</f>
      </c>
      <c r="B43" s="4" t="s">
        <f>=HYPERLINK("https://leilaoonline.com.br/lote/detalhe/190964", " TANQUE CILINDRICO VERTICAL MAT POLETILE, FR209865, LOC. RAFARD")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=HYPERLINK("https://leilaoonline.com.br/lote/detalhe/191380", "5059")</f>
      </c>
      <c r="B44" s="4" t="s">
        <f>=HYPERLINK("https://leilaoonline.com.br/lote/detalhe/191380", " TRATOR VALTRA BH 140 S 4X4; ANO 2005. - FR13002028. - LOC. MB")</f>
      </c>
      <c r="C44" s="4" t="inlineStr">
        <is>
          <t>Vendido</t>
        </is>
      </c>
      <c r="D44" s="4" t="inlineStr">
        <is>
          <t>60</t>
        </is>
      </c>
      <c r="E44" s="5" t="inlineStr">
        <is>
          <t>97.000,00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=HYPERLINK("https://leilaoonline.com.br/lote/detalhe/191396", "5061")</f>
      </c>
      <c r="B45" s="4" t="s">
        <f>=HYPERLINK("https://leilaoonline.com.br/lote/detalhe/191396", " CAMINHÃO FORD CARGO 2422; ANO 2000/2000; BRANCO; C/CARROCERIA FERRO, MUNCK VEICULAR MICHELETO MOTOCANA MK 6500T. - FR11001025. - LOC. MB")</f>
      </c>
      <c r="C45" s="4" t="inlineStr">
        <is>
          <t>Vendido</t>
        </is>
      </c>
      <c r="D45" s="4" t="inlineStr">
        <is>
          <t>74</t>
        </is>
      </c>
      <c r="E45" s="5" t="inlineStr">
        <is>
          <t>95.000,00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=HYPERLINK("https://leilaoonline.com.br/lote/detalhe/191382", "5062")</f>
      </c>
      <c r="B46" s="4" t="s">
        <f>=HYPERLINK("https://leilaoonline.com.br/lote/detalhe/191382", "REBOQUE RANDON RE DL; ANO 2003/2003; VERDE. - FR13004188. - LOC. MB")</f>
      </c>
      <c r="C46" s="4" t="inlineStr">
        <is>
          <t>Não vendido</t>
        </is>
      </c>
      <c r="D46" s="4" t="inlineStr">
        <is>
          <t>36</t>
        </is>
      </c>
      <c r="E46" s="5" t="inlineStr">
        <is>
          <t>22.500,00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=HYPERLINK("https://leilaoonline.com.br/lote/detalhe/190962", "5099")</f>
      </c>
      <c r="B47" s="4" t="s">
        <f>=HYPERLINK("https://leilaoonline.com.br/lote/detalhe/190962", "REBOQUE RANDONSP RQ CA 4E 12,5M, 2010/2011, AZUL, FR93653 - LOC. JUNQUEIRA")</f>
      </c>
      <c r="C47" s="4" t="inlineStr">
        <is>
          <t>Vendido</t>
        </is>
      </c>
      <c r="D47" s="4" t="inlineStr">
        <is>
          <t>3</t>
        </is>
      </c>
      <c r="E47" s="5" t="inlineStr">
        <is>
          <t>27.000,00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=HYPERLINK("https://leilaoonline.com.br/lote/detalhe/190952", "6012")</f>
      </c>
      <c r="B48" s="4" t="s">
        <f>=HYPERLINK("https://leilaoonline.com.br/lote/detalhe/190952", "REBOQUE RECLAL MT RC SC 200 SACI; ANO 2015/2015; PRETA. -  FR48405. - IPAUSSU")</f>
      </c>
      <c r="C48" s="4" t="inlineStr">
        <is>
          <t>Vendido</t>
        </is>
      </c>
      <c r="D48" s="4" t="inlineStr">
        <is>
          <t>1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=HYPERLINK("https://leilaoonline.com.br/lote/detalhe/190953", "6018")</f>
      </c>
      <c r="B49" s="4" t="s">
        <f>=HYPERLINK("https://leilaoonline.com.br/lote/detalhe/190953", "SUBSOLADOR ARRAST,  ANO 2018. - FR48272/48175 - LOC. IPAUSSU")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=HYPERLINK("https://leilaoonline.com.br/lote/detalhe/190951", "6020")</f>
      </c>
      <c r="B50" s="4" t="s">
        <f>=HYPERLINK("https://leilaoonline.com.br/lote/detalhe/190951", " ENXADA ROTATIVA UNIVERSAL, ANO 2014. - FR48159. - LOC. IPAUSSU")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=HYPERLINK("https://leilaoonline.com.br/lote/detalhe/190950", "7005")</f>
      </c>
      <c r="B51" s="4" t="s">
        <f>=HYPERLINK("https://leilaoonline.com.br/lote/detalhe/190950", " CAMINHÃO SCANIA R113 E 6X4 360; ANO 1993/1993, BRANCO. -  FR81464. - LOC. MUNDIAL")</f>
      </c>
      <c r="C51" s="4" t="inlineStr">
        <is>
          <t>Não vendido</t>
        </is>
      </c>
      <c r="D51" s="4" t="inlineStr">
        <is>
          <t>22</t>
        </is>
      </c>
      <c r="E51" s="5" t="inlineStr">
        <is>
          <t>31.000,00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=HYPERLINK("https://leilaoonline.com.br/lote/detalhe/190954", "7018")</f>
      </c>
      <c r="B52" s="4" t="s">
        <f>=HYPERLINK("https://leilaoonline.com.br/lote/detalhe/190954", " CAMINHÃO MERCEDES BENZ 1313 TOCO; ANO 1980/1980; AZUL. - FR81402. - LOC. GASA")</f>
      </c>
      <c r="C52" s="4" t="inlineStr">
        <is>
          <t>Não vendido</t>
        </is>
      </c>
      <c r="D52" s="4" t="inlineStr">
        <is>
          <t>18</t>
        </is>
      </c>
      <c r="E52" s="5" t="inlineStr">
        <is>
          <t>29.000,00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=HYPERLINK("https://leilaoonline.com.br/lote/detalhe/190961", "7041")</f>
      </c>
      <c r="B53" s="4" t="s">
        <f>=HYPERLINK("https://leilaoonline.com.br/lote/detalhe/190961", " TANQUE DE AÇO. - TQE-RB-0048. - LOC. RIO BRILHANTE")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=HYPERLINK("https://leilaoonline.com.br/lote/detalhe/190959", "7042")</f>
      </c>
      <c r="B54" s="4" t="s">
        <f>=HYPERLINK("https://leilaoonline.com.br/lote/detalhe/190959", " PONTE ROLANTE 2 TON; ANO 2007. - FR277262. - LOC. RIO BRILHANTE")</f>
      </c>
      <c r="C54" s="4" t="inlineStr">
        <is>
          <t>Não vendido</t>
        </is>
      </c>
      <c r="D54" s="4" t="inlineStr">
        <is>
          <t>26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=HYPERLINK("https://leilaoonline.com.br/lote/detalhe/190960", "7045")</f>
      </c>
      <c r="B55" s="4" t="s">
        <f>=HYPERLINK("https://leilaoonline.com.br/lote/detalhe/190960", " LOTE DE 2 ESTRUTURA DE TROCADOR DE CALOR DORNA PRIMARIA DE FERMENTAÇÃO. -  TCP-RB-0010/TCP-RB-0009. - LOC. RIO BRILHANTE")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=HYPERLINK("https://leilaoonline.com.br/lote/detalhe/190974", "7775")</f>
      </c>
      <c r="B56" s="4" t="s">
        <f>=HYPERLINK("https://leilaoonline.com.br/lote/detalhe/190974", "SUCATA DE TUBOS DE CALDEIRA DE APROX. 8 METROS DE COMPRIMENTO. PESO APROXIMADO 70 TONELADAS. (LANCE POR KG) - LOC.: BONFIM")</f>
      </c>
      <c r="C56" s="4" t="inlineStr">
        <is>
          <t>Vendido</t>
        </is>
      </c>
      <c r="D56" s="4" t="inlineStr">
        <is>
          <t>11</t>
        </is>
      </c>
      <c r="E56" s="5" t="inlineStr">
        <is>
          <t>133.000,00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=HYPERLINK("https://leilaoonline.com.br/lote/detalhe/190956", "8000")</f>
      </c>
      <c r="B57" s="4" t="s">
        <f>=HYPERLINK("https://leilaoonline.com.br/lote/detalhe/190956", "3 CULTIVADORES. - FR4445230/FR4445018/FR4445231. - LOC. CAARAPÓ")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=HYPERLINK("https://leilaoonline.com.br/lote/detalhe/190973", "8004")</f>
      </c>
      <c r="B58" s="4" t="s">
        <f>=HYPERLINK("https://leilaoonline.com.br/lote/detalhe/190973", "2 CARRETA DE PLANTIO PLATAFORMA, FR4445337/FR4445341, LOC. CAARAPÓ 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=HYPERLINK("https://leilaoonline.com.br/lote/detalhe/190957", "8021")</f>
      </c>
      <c r="B59" s="4" t="s">
        <f>=HYPERLINK("https://leilaoonline.com.br/lote/detalhe/190957", " SUCATA DE FIAT UNO. - LOC. CAARAPO")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=HYPERLINK("https://leilaoonline.com.br/lote/detalhe/190958", "8022")</f>
      </c>
      <c r="B60" s="4" t="s">
        <f>=HYPERLINK("https://leilaoonline.com.br/lote/detalhe/190958", " SUCATA DE FIAT UNO. - LOC. CAARAPO")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=HYPERLINK("https://leilaoonline.com.br/lote/detalhe/190972", "8024")</f>
      </c>
      <c r="B61" s="4" t="s">
        <f>=HYPERLINK("https://leilaoonline.com.br/lote/detalhe/190972", " CARROCERIA TORTA DE FILTRO, ANO 2013,  FR55088, LOC. CAARAPÓ 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5.500,00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=HYPERLINK("https://leilaoonline.com.br/lote/detalhe/190963", "8027")</f>
      </c>
      <c r="B62" s="4" t="s">
        <f>=HYPERLINK("https://leilaoonline.com.br/lote/detalhe/190963", "BOMBA DE ABASTECIMENTO TRIFASICO, ANO 2016, PAT. 188293, LOC. CAARAPÓ")</f>
      </c>
      <c r="C62" s="4" t="inlineStr">
        <is>
          <t>Vendido</t>
        </is>
      </c>
      <c r="D62" s="4" t="inlineStr">
        <is>
          <t>2</t>
        </is>
      </c>
      <c r="E62" s="5" t="inlineStr">
        <is>
          <t>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=HYPERLINK("https://leilaoonline.com.br/lote/detalhe/192541", "8034")</f>
      </c>
      <c r="B63" s="4" t="s">
        <f>=HYPERLINK("https://leilaoonline.com.br/lote/detalhe/192541", " CAMINHÃO MERCEDES BENZ ATEGO 2730 6X4 CE (COMBOIO), ANO 2017/2018, BRANCO. - FR. 4415073. - LOC. CAARAPÓ")</f>
      </c>
      <c r="C63" s="4" t="inlineStr">
        <is>
          <t>Vendido</t>
        </is>
      </c>
      <c r="D63" s="4" t="inlineStr">
        <is>
          <t>85</t>
        </is>
      </c>
      <c r="E63" s="5" t="inlineStr">
        <is>
          <t>208.000,00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=HYPERLINK("https://leilaoonline.com.br/lote/detalhe/190991", "8046")</f>
      </c>
      <c r="B64" s="4" t="s">
        <f>=HYPERLINK("https://leilaoonline.com.br/lote/detalhe/190991", " LOTE DE 2 CARRETINHA BANHEIRO FAB. PROPRIA. - FR293309/FR293895 - LOC. PASSATEMPO")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=HYPERLINK("https://leilaoonline.com.br/lote/detalhe/190987", "8050")</f>
      </c>
      <c r="B65" s="4" t="s">
        <f>=HYPERLINK("https://leilaoonline.com.br/lote/detalhe/190987", "GERADOR A DIESEL CATERPILLAR  450K - MOTOR DE GERADOR A DIESEL. - FR292169/FR292168. - LOC. PASSATEMPO")</f>
      </c>
      <c r="C65" s="4" t="inlineStr">
        <is>
          <t>Não vendido</t>
        </is>
      </c>
      <c r="D65" s="4" t="inlineStr">
        <is>
          <t>39</t>
        </is>
      </c>
      <c r="E65" s="5" t="inlineStr">
        <is>
          <t>45.000,00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=HYPERLINK("https://leilaoonline.com.br/lote/detalhe/191000", "9008")</f>
      </c>
      <c r="B66" s="4" t="s">
        <f>=HYPERLINK("https://leilaoonline.com.br/lote/detalhe/191000", " CAMINHÃO MERCEDES BENZ AXOR 3344S6X4; ANO 2016/2016; BRANCA. - FR415056. - LOC. CAARAPÓ")</f>
      </c>
      <c r="C66" s="4" t="inlineStr">
        <is>
          <t>Não vendido</t>
        </is>
      </c>
      <c r="D66" s="4" t="inlineStr">
        <is>
          <t>26</t>
        </is>
      </c>
      <c r="E66" s="5" t="inlineStr">
        <is>
          <t>70.000,00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=HYPERLINK("https://leilaoonline.com.br/lote/detalhe/191002", "9018")</f>
      </c>
      <c r="B67" s="4" t="s">
        <f>=HYPERLINK("https://leilaoonline.com.br/lote/detalhe/191002", " DISTRIBUIDOR SOLLUS 20.0 CHTD, ANO 2018 - FR45312, LOC. CAARAPÓ 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13.000,00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=HYPERLINK("https://leilaoonline.com.br/lote/detalhe/191007", "9019")</f>
      </c>
      <c r="B68" s="4" t="s">
        <f>=HYPERLINK("https://leilaoonline.com.br/lote/detalhe/191007", " CARRETINHA  DE TUBO, ANO 2017, FR4445289, LOC. CAARAPÓ")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=HYPERLINK("https://leilaoonline.com.br/lote/detalhe/191005", "9021")</f>
      </c>
      <c r="B69" s="4" t="s">
        <f>=HYPERLINK("https://leilaoonline.com.br/lote/detalhe/191005", " CARRETINHA  DE TUBO, S/FR, LOC. CAARAPÓ")</f>
      </c>
      <c r="C69" s="4" t="inlineStr">
        <is>
          <t>Vendido</t>
        </is>
      </c>
      <c r="D69" s="4" t="inlineStr">
        <is>
          <t>5</t>
        </is>
      </c>
      <c r="E69" s="5" t="inlineStr">
        <is>
          <t>1.600,00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=HYPERLINK("https://leilaoonline.com.br/lote/detalhe/191006", "9022")</f>
      </c>
      <c r="B70" s="4" t="s">
        <f>=HYPERLINK("https://leilaoonline.com.br/lote/detalhe/191006", " CARRETINHA  DE TUBO, S/FR, LOC. CAARAPÓ")</f>
      </c>
      <c r="C70" s="4" t="inlineStr">
        <is>
          <t>Vendido</t>
        </is>
      </c>
      <c r="D70" s="4" t="inlineStr">
        <is>
          <t>7</t>
        </is>
      </c>
      <c r="E70" s="5" t="inlineStr">
        <is>
          <t>1.900,00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=HYPERLINK("https://leilaoonline.com.br/lote/detalhe/190995", "9023")</f>
      </c>
      <c r="B71" s="4" t="s">
        <f>=HYPERLINK("https://leilaoonline.com.br/lote/detalhe/190995", " CARRETINHA  DE TUBO, ANO 2017. - FR45290. - LOC. CAARAPÓ")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=HYPERLINK("https://leilaoonline.com.br/lote/detalhe/190994", "9026")</f>
      </c>
      <c r="B72" s="4" t="s">
        <f>=HYPERLINK("https://leilaoonline.com.br/lote/detalhe/190994", " 2 ENLEIRADEIRAS DE PALHA. - FR444S121/FR444S160. - LOC. CAARAPO")</f>
      </c>
      <c r="C72" s="4" t="inlineStr">
        <is>
          <t>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=HYPERLINK("https://leilaoonline.com.br/lote/detalhe/190993", "9027")</f>
      </c>
      <c r="B73" s="4" t="s">
        <f>=HYPERLINK("https://leilaoonline.com.br/lote/detalhe/190993", " 2 ENLEIRADEIRAS DE PALHA. - FR444S295/FR4445123. - LOC. CAARAPO")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=HYPERLINK("https://leilaoonline.com.br/lote/detalhe/190999", "9028")</f>
      </c>
      <c r="B74" s="4" t="s">
        <f>=HYPERLINK("https://leilaoonline.com.br/lote/detalhe/190999", " 2 ENLEIRADEIRAS DE PALHA, FR45292 ,LOC. CAARAPÓ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=HYPERLINK("https://leilaoonline.com.br/lote/detalhe/191003", "9029")</f>
      </c>
      <c r="B75" s="4" t="s">
        <f>=HYPERLINK("https://leilaoonline.com.br/lote/detalhe/191003", " 2 ENLEIRADEIRAS DE PALHA,FR45293, LOC. CAARAPÓ")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=HYPERLINK("https://leilaoonline.com.br/lote/detalhe/191004", "9031")</f>
      </c>
      <c r="B76" s="4" t="s">
        <f>=HYPERLINK("https://leilaoonline.com.br/lote/detalhe/191004", " 2 COBRIDORES, FR045032/45006, LOC. CAARAPÓ")</f>
      </c>
      <c r="C76" s="4" t="inlineStr">
        <is>
          <t>Vendido</t>
        </is>
      </c>
      <c r="D76" s="4" t="inlineStr">
        <is>
          <t>3</t>
        </is>
      </c>
      <c r="E76" s="5" t="inlineStr">
        <is>
          <t>1.300,00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=HYPERLINK("https://leilaoonline.com.br/lote/detalhe/191012", "9040")</f>
      </c>
      <c r="B77" s="4" t="s">
        <f>=HYPERLINK("https://leilaoonline.com.br/lote/detalhe/191012", "APROXIMADAMENTE 6 TONELADAS DE SUCATA DE TUBO DE ALUMÍNIO - (VENDA POR KG) - LOC. CAARAPÓ")</f>
      </c>
      <c r="C77" s="4" t="inlineStr">
        <is>
          <t>Vendido</t>
        </is>
      </c>
      <c r="D77" s="4" t="inlineStr">
        <is>
          <t>64</t>
        </is>
      </c>
      <c r="E77" s="5" t="inlineStr">
        <is>
          <t>43.200,00</t>
        </is>
      </c>
      <c r="F77" s="4" t="inlineStr">
        <is>
          <t>0.10</t>
        </is>
      </c>
    </row>
    <row collapsed="false" customFormat="false" customHeight="false" hidden="false" ht="12.1" outlineLevel="0" r="78">
      <c r="A78" s="5" t="s">
        <f>=HYPERLINK("https://leilaoonline.com.br/lote/detalhe/190893", "10000")</f>
      </c>
      <c r="B78" s="4" t="s">
        <f>=HYPERLINK("https://leilaoonline.com.br/lote/detalhe/190893", " (VEJA O VÍDEO) CAMINHÃO MERCEDES BENZ L 2635 6X4, ANO 1996/1996, BRANCA  - FR72836 - LOC. DIAMANTE")</f>
      </c>
      <c r="C78" s="4" t="inlineStr">
        <is>
          <t>Não vendido</t>
        </is>
      </c>
      <c r="D78" s="4" t="inlineStr">
        <is>
          <t>55</t>
        </is>
      </c>
      <c r="E78" s="5" t="inlineStr">
        <is>
          <t>99.000,00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=HYPERLINK("https://leilaoonline.com.br/lote/detalhe/190996", "11269")</f>
      </c>
      <c r="B79" s="4" t="s">
        <f>=HYPERLINK("https://leilaoonline.com.br/lote/detalhe/190996", " PLANTADORA DE CANA  ATA PCP 1102; ANO 2012. - FR92830. - LOC. JUNQUEIRA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=HYPERLINK("https://leilaoonline.com.br/lote/detalhe/190986", "11468")</f>
      </c>
      <c r="B80" s="4" t="s">
        <f>=HYPERLINK("https://leilaoonline.com.br/lote/detalhe/190986", " PLANTADORA DE CANA AUTOMÁTICA DMB, ANO 2007. - FR361012. - LOC. BONFIM")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=HYPERLINK("https://leilaoonline.com.br/lote/detalhe/191209", "12008")</f>
      </c>
      <c r="B81" s="4" t="s">
        <f>=HYPERLINK("https://leilaoonline.com.br/lote/detalhe/191209", " TRANSBORDO SANTAL VT 10T; ANO 2009. - FR10148. - LOC. JUNQUEIRA")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=HYPERLINK("https://leilaoonline.com.br/lote/detalhe/191203", "12013")</f>
      </c>
      <c r="B82" s="4" t="s">
        <f>=HYPERLINK("https://leilaoonline.com.br/lote/detalhe/191203", " TRANSBORDO; ANO 2008. - FR10127. - LOC. JUNQUEIRA")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10.000,00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=HYPERLINK("https://leilaoonline.com.br/lote/detalhe/190992", "12020")</f>
      </c>
      <c r="B83" s="4" t="s">
        <f>=HYPERLINK("https://leilaoonline.com.br/lote/detalhe/190992", " CARRETA TANQUE 5000LITROS, ANO 2011. - FR122329. - LOC. JUNQUEIRA")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=HYPERLINK("https://leilaoonline.com.br/lote/detalhe/190990", "12021")</f>
      </c>
      <c r="B84" s="4" t="s">
        <f>=HYPERLINK("https://leilaoonline.com.br/lote/detalhe/190990", " PLANTADORA CANA ATA PCP 1102, ANO 2012. - FR92829. - LOC. JUNQUEIRA")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=HYPERLINK("https://leilaoonline.com.br/lote/detalhe/190988", "12061")</f>
      </c>
      <c r="B85" s="4" t="s">
        <f>=HYPERLINK("https://leilaoonline.com.br/lote/detalhe/190988", " SUBSOLADOR DE ARRASTO STAC 7 HASTE CIVEMASA (VENDA SEM PNEUS), ANO 2013. - FR1003156. - LOC. SANTA ELISA")</f>
      </c>
      <c r="C85" s="4" t="inlineStr">
        <is>
          <t>Não vendido</t>
        </is>
      </c>
      <c r="D85" s="4" t="inlineStr">
        <is>
          <t>19</t>
        </is>
      </c>
      <c r="E85" s="5" t="inlineStr">
        <is>
          <t>6.500,00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=HYPERLINK("https://leilaoonline.com.br/lote/detalhe/190989", "12081")</f>
      </c>
      <c r="B86" s="4" t="s">
        <f>=HYPERLINK("https://leilaoonline.com.br/lote/detalhe/190989", " PLANTADORA CANA DMB PCP 6000, ANO 2010. - FR13003120. - LOC. MB")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=HYPERLINK("https://leilaoonline.com.br/lote/detalhe/190981", "16469")</f>
      </c>
      <c r="B87" s="4" t="s">
        <f>=HYPERLINK("https://leilaoonline.com.br/lote/detalhe/190981", " CAMINHÃO MERCEDES BENZ AXOR 3344S 6X4, ANO 2014/2014; BRANCO. - FR362091. - LOC. BENALCOOL")</f>
      </c>
      <c r="C87" s="4" t="inlineStr">
        <is>
          <t>Não vendido</t>
        </is>
      </c>
      <c r="D87" s="4" t="inlineStr">
        <is>
          <t>26</t>
        </is>
      </c>
      <c r="E87" s="5" t="inlineStr">
        <is>
          <t>60.000,00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=HYPERLINK("https://leilaoonline.com.br/lote/detalhe/190975", "17331")</f>
      </c>
      <c r="B88" s="4" t="s">
        <f>=HYPERLINK("https://leilaoonline.com.br/lote/detalhe/190975", " CARRETA FARDO DE PALHA M12010; ANO 2012. - FR48309. - LOC. IPAUSSU")</f>
      </c>
      <c r="C88" s="4" t="inlineStr">
        <is>
          <t>Não vendido</t>
        </is>
      </c>
      <c r="D88" s="4" t="inlineStr">
        <is>
          <t>25</t>
        </is>
      </c>
      <c r="E88" s="5" t="inlineStr">
        <is>
          <t>17.000,00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=HYPERLINK("https://leilaoonline.com.br/lote/detalhe/190982", "17332")</f>
      </c>
      <c r="B89" s="4" t="s">
        <f>=HYPERLINK("https://leilaoonline.com.br/lote/detalhe/190982", " CARRETA FARDO DE PALHA M12010; ANO 2015. - FR48311. - LOC. IPAUSSU")</f>
      </c>
      <c r="C89" s="4" t="inlineStr">
        <is>
          <t>Não vendido</t>
        </is>
      </c>
      <c r="D89" s="4" t="inlineStr">
        <is>
          <t>15</t>
        </is>
      </c>
      <c r="E89" s="5" t="inlineStr">
        <is>
          <t>12.000,00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=HYPERLINK("https://leilaoonline.com.br/lote/detalhe/190983", "17334")</f>
      </c>
      <c r="B90" s="4" t="s">
        <f>=HYPERLINK("https://leilaoonline.com.br/lote/detalhe/190983", " PULVERIZADOR DE INJEÇÃO NO SOLO;  ANO 2018. - FR48282. - LOC. IPAUSSU")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=HYPERLINK("https://leilaoonline.com.br/lote/detalhe/190679", "17344")</f>
      </c>
      <c r="B91" s="4" t="s">
        <f>=HYPERLINK("https://leilaoonline.com.br/lote/detalhe/190679", " SEMI-REBOQUE RANDONSP SRCA CA; ANO 2012/2013; CINZA. - FR70815. - LOC. IPAUSSU ")</f>
      </c>
      <c r="C91" s="4" t="inlineStr">
        <is>
          <t>Vendido</t>
        </is>
      </c>
      <c r="D91" s="4" t="inlineStr">
        <is>
          <t>23</t>
        </is>
      </c>
      <c r="E91" s="5" t="inlineStr">
        <is>
          <t>47.000,00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=HYPERLINK("https://leilaoonline.com.br/lote/detalhe/190657", "17345")</f>
      </c>
      <c r="B92" s="4" t="s">
        <f>=HYPERLINK("https://leilaoonline.com.br/lote/detalhe/190657", " SEMI-REBOQUE USICAMP SRCP E2 10000; ANO 2008/2008; AZUL (VENDA SEM 2 RODAS). - FR46858. - LOC. IPAUSSU")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=HYPERLINK("https://leilaoonline.com.br/lote/detalhe/190977", "17363")</f>
      </c>
      <c r="B93" s="4" t="s">
        <f>=HYPERLINK("https://leilaoonline.com.br/lote/detalhe/190977", " ÔNIBUS MERCEDES BENZ OF1315, ANO 1992/1992; BEGE. - FR81353. - LOC. BENALCOOL")</f>
      </c>
      <c r="C93" s="4" t="inlineStr">
        <is>
          <t>Não vendido</t>
        </is>
      </c>
      <c r="D93" s="4" t="inlineStr">
        <is>
          <t>18</t>
        </is>
      </c>
      <c r="E93" s="5" t="inlineStr">
        <is>
          <t>20.500,00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=HYPERLINK("https://leilaoonline.com.br/lote/detalhe/190998", "17365")</f>
      </c>
      <c r="B94" s="4" t="s">
        <f>=HYPERLINK("https://leilaoonline.com.br/lote/detalhe/190998", " CAMINHÃO SCANIA R113 E 6X4 360;  ANO 1995/1995; BRANCA. - FR173609. - LOC. BENALCOOL ")</f>
      </c>
      <c r="C94" s="4" t="inlineStr">
        <is>
          <t>Não vendido</t>
        </is>
      </c>
      <c r="D94" s="4" t="inlineStr">
        <is>
          <t>30</t>
        </is>
      </c>
      <c r="E94" s="5" t="inlineStr">
        <is>
          <t>44.000,00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=HYPERLINK("https://leilaoonline.com.br/lote/detalhe/190629", "20534")</f>
      </c>
      <c r="B95" s="4" t="s">
        <f>=HYPERLINK("https://leilaoonline.com.br/lote/detalhe/190629", " REBOQUE RANDON SP RQ CA; ANO 2012/2012; AZUL (SEM EIXOS E MOLAS). - FR36294. - LOC. BOM RETIRO")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=HYPERLINK("https://leilaoonline.com.br/lote/detalhe/190597", "20581")</f>
      </c>
      <c r="B96" s="4" t="s">
        <f>=HYPERLINK("https://leilaoonline.com.br/lote/detalhe/190597", " ENXADA HOWARD ENGUNERING LIMITED ROTATIVA; ANO 2013. - FR57323. - LOC. BOM RETIRO ")</f>
      </c>
      <c r="C96" s="4" t="inlineStr">
        <is>
          <t>Não vendido</t>
        </is>
      </c>
      <c r="D96" s="4" t="inlineStr">
        <is>
          <t>27</t>
        </is>
      </c>
      <c r="E96" s="5" t="inlineStr">
        <is>
          <t>8.500,00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=HYPERLINK("https://leilaoonline.com.br/lote/detalhe/190494", "20606")</f>
      </c>
      <c r="B97" s="4" t="s">
        <f>=HYPERLINK("https://leilaoonline.com.br/lote/detalhe/190494", " CARRETA ESPARRAMADORA CALCAREO SOLLUS; ANO 2011. - FR25307. - LOC. BOM RETIRO 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=HYPERLINK("https://leilaoonline.com.br/lote/detalhe/190527", "20640")</f>
      </c>
      <c r="B98" s="4" t="s">
        <f>=HYPERLINK("https://leilaoonline.com.br/lote/detalhe/190527", " CARRETINHA DE SERVIÇOS GERAIS. - S/FR. - LOC. BOM RETIRO ")</f>
      </c>
      <c r="C98" s="4" t="inlineStr">
        <is>
          <t>Vendido</t>
        </is>
      </c>
      <c r="D98" s="4" t="inlineStr">
        <is>
          <t>3</t>
        </is>
      </c>
      <c r="E98" s="5" t="inlineStr">
        <is>
          <t>1.700,00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=HYPERLINK("https://leilaoonline.com.br/lote/detalhe/190984", "20647")</f>
      </c>
      <c r="B99" s="4" t="s">
        <f>=HYPERLINK("https://leilaoonline.com.br/lote/detalhe/190984", " TRITURADOR CANA TRC VICON; ANO 2013. - FR25280. - LOC. BOM RETIRO")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=HYPERLINK("https://leilaoonline.com.br/lote/detalhe/190612", "20652")</f>
      </c>
      <c r="B100" s="4" t="s">
        <f>=HYPERLINK("https://leilaoonline.com.br/lote/detalhe/190612", " DOLLY USICAMP. (VENDA SEM DOCUMENTO) - FR36218. - LOC. BOM RETIRO")</f>
      </c>
      <c r="C100" s="4" t="inlineStr">
        <is>
          <t>Vendido</t>
        </is>
      </c>
      <c r="D100" s="4" t="inlineStr">
        <is>
          <t>36</t>
        </is>
      </c>
      <c r="E100" s="5" t="inlineStr">
        <is>
          <t>13.750,00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=HYPERLINK("https://leilaoonline.com.br/lote/detalhe/191011", "20663")</f>
      </c>
      <c r="B101" s="4" t="s">
        <f>=HYPERLINK("https://leilaoonline.com.br/lote/detalhe/191011", " SEMI-REBOQUE RANDON SR CA, ANO 2007/2007, AZUL, FR56255, LOC. BOM RETIRO ")</f>
      </c>
      <c r="C101" s="4" t="inlineStr">
        <is>
          <t>Não vendido</t>
        </is>
      </c>
      <c r="D101" s="4" t="inlineStr">
        <is>
          <t>7</t>
        </is>
      </c>
      <c r="E101" s="5" t="inlineStr">
        <is>
          <t>27.000,00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=HYPERLINK("https://leilaoonline.com.br/lote/detalhe/190665", "20664")</f>
      </c>
      <c r="B102" s="4" t="s">
        <f>=HYPERLINK("https://leilaoonline.com.br/lote/detalhe/190665", " SEMI-REBOQUE RANDON SR CA; ANO 2007/2007; AZUL. - FR66145. - LOC. BOM RETIRO")</f>
      </c>
      <c r="C102" s="4" t="inlineStr">
        <is>
          <t>Não vendido</t>
        </is>
      </c>
      <c r="D102" s="4" t="inlineStr">
        <is>
          <t>4</t>
        </is>
      </c>
      <c r="E102" s="5" t="inlineStr">
        <is>
          <t>23.000,00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=HYPERLINK("https://leilaoonline.com.br/lote/detalhe/190497", "30038")</f>
      </c>
      <c r="B103" s="4" t="s">
        <f>=HYPERLINK("https://leilaoonline.com.br/lote/detalhe/190497", " CAMINHÃO MERCEDES BENZ; AXOR 3344S 6X4; ANO 2014/2014; BRANCA. - FR362065. - LOC. BOM RETIRO ")</f>
      </c>
      <c r="C103" s="4" t="inlineStr">
        <is>
          <t>Vendido</t>
        </is>
      </c>
      <c r="D103" s="4" t="inlineStr">
        <is>
          <t>19</t>
        </is>
      </c>
      <c r="E103" s="5" t="inlineStr">
        <is>
          <t>101.000,00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=HYPERLINK("https://leilaoonline.com.br/lote/detalhe/190997", "30058")</f>
      </c>
      <c r="B104" s="4" t="s">
        <f>=HYPERLINK("https://leilaoonline.com.br/lote/detalhe/190997", " CAMINHÃO VOLKSWAGEN 26.220 EURO3 WORKER;  ANO 2010/2010; BRANCA. - FR52490. - LOC. SANTA HELENA ")</f>
      </c>
      <c r="C104" s="4" t="inlineStr">
        <is>
          <t>Vendido</t>
        </is>
      </c>
      <c r="D104" s="4" t="inlineStr">
        <is>
          <t>53</t>
        </is>
      </c>
      <c r="E104" s="5" t="inlineStr">
        <is>
          <t>77.000,00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=HYPERLINK("https://leilaoonline.com.br/lote/detalhe/190985", "30087")</f>
      </c>
      <c r="B105" s="4" t="s">
        <f>=HYPERLINK("https://leilaoonline.com.br/lote/detalhe/190985", " ELIMINADOR DE SOQUEIRA, ANO 2018. - FR140065. - RAFARD")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1.150,00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=HYPERLINK("https://leilaoonline.com.br/lote/detalhe/190633", "30091")</f>
      </c>
      <c r="B106" s="4" t="s">
        <f>=HYPERLINK("https://leilaoonline.com.br/lote/detalhe/190633", " REBOQUE ANTONINI, ANO 1992/1992, AZUL. - FR66044. - LOC. BOM RETIRO ")</f>
      </c>
      <c r="C106" s="4" t="inlineStr">
        <is>
          <t>Não vendido</t>
        </is>
      </c>
      <c r="D106" s="4" t="inlineStr">
        <is>
          <t>8</t>
        </is>
      </c>
      <c r="E106" s="5" t="inlineStr">
        <is>
          <t>22.000,00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=HYPERLINK("https://leilaoonline.com.br/lote/detalhe/190609", "30093")</f>
      </c>
      <c r="B107" s="4" t="s">
        <f>=HYPERLINK("https://leilaoonline.com.br/lote/detalhe/190609", " IMPLEMENTO. - S/ FR. - LOC. BOM RETIRO ")</f>
      </c>
      <c r="C107" s="4" t="inlineStr">
        <is>
          <t>Vendido</t>
        </is>
      </c>
      <c r="D107" s="4" t="inlineStr">
        <is>
          <t>34</t>
        </is>
      </c>
      <c r="E107" s="5" t="inlineStr">
        <is>
          <t>5.800,00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=HYPERLINK("https://leilaoonline.com.br/lote/detalhe/190526", "30099")</f>
      </c>
      <c r="B108" s="4" t="s">
        <f>=HYPERLINK("https://leilaoonline.com.br/lote/detalhe/190526", " CULTIVADOR 2 LINHAS. - FR67182. - BOM RETIRO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=HYPERLINK("https://leilaoonline.com.br/lote/detalhe/190509", "30100")</f>
      </c>
      <c r="B109" s="4" t="s">
        <f>=HYPERLINK("https://leilaoonline.com.br/lote/detalhe/190509", " CULTIVADOR 2 LINHAS. - FR38071. - BOM RETIRO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=HYPERLINK("https://leilaoonline.com.br/lote/detalhe/190525", "30105")</f>
      </c>
      <c r="B110" s="4" t="s">
        <f>=HYPERLINK("https://leilaoonline.com.br/lote/detalhe/190525", " CARRETINHA SERVIÇOS GERAIS; ANO 2011. - FR57301. - BOM RETIRO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=HYPERLINK("https://leilaoonline.com.br/lote/detalhe/191008", "31005")</f>
      </c>
      <c r="B111" s="4" t="s">
        <f>=HYPERLINK("https://leilaoonline.com.br/lote/detalhe/191008", " CAMINHÃO VOLKSWAGEM 26.220; ANO 2005/2005. BRANCA. - FR10001004, LOC. CONTINENTAL ")</f>
      </c>
      <c r="C111" s="4" t="inlineStr">
        <is>
          <t>Vendido</t>
        </is>
      </c>
      <c r="D111" s="4" t="inlineStr">
        <is>
          <t>27</t>
        </is>
      </c>
      <c r="E111" s="5" t="inlineStr">
        <is>
          <t>52.000,00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=HYPERLINK("https://leilaoonline.com.br/lote/detalhe/191017", "31019")</f>
      </c>
      <c r="B112" s="4" t="s">
        <f>=HYPERLINK("https://leilaoonline.com.br/lote/detalhe/191017", "SEMI-REBOQUE RANDON SR CA, ANO 2002/2003, AZUL, FR10004075, LOC. CONTINENTAL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=HYPERLINK("https://leilaoonline.com.br/lote/detalhe/191025", "31022")</f>
      </c>
      <c r="B113" s="4" t="s">
        <f>=HYPERLINK("https://leilaoonline.com.br/lote/detalhe/191025", "SEMI-REBOQUE RANDON SR CA, ANO 2002/2003, AZUL, FR10004076, LOC. CONTINENTAL 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=HYPERLINK("https://leilaoonline.com.br/lote/detalhe/191026", "31023")</f>
      </c>
      <c r="B114" s="4" t="s">
        <f>=HYPERLINK("https://leilaoonline.com.br/lote/detalhe/191026", "REBOQUE TRUCK GALEGO SR, ANO 2004/2004; AZUL. - FR10004113. - LOC. CONTINENTAL 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21.000,00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=HYPERLINK("https://leilaoonline.com.br/lote/detalhe/191018", "31025")</f>
      </c>
      <c r="B115" s="4" t="s">
        <f>=HYPERLINK("https://leilaoonline.com.br/lote/detalhe/191018", " REBOQUE TRUCK GALEGO SR; ANO 2005/2005; VERDE. - FR10004072. - LOC. CONTINENTAL 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=HYPERLINK("https://leilaoonline.com.br/lote/detalhe/191020", "31028")</f>
      </c>
      <c r="B116" s="4" t="s">
        <f>=HYPERLINK("https://leilaoonline.com.br/lote/detalhe/191020", " REBOQUE TRUCK GALEGO SR; ANO 2004/2004; AZUL. - FR10004095. - LOC. CONTINENTAL 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=HYPERLINK("https://leilaoonline.com.br/lote/detalhe/191019", "31029")</f>
      </c>
      <c r="B117" s="4" t="s">
        <f>=HYPERLINK("https://leilaoonline.com.br/lote/detalhe/191019", " SEMI-REBOQUE RODOFORT SRR CN; ANO 2005/2005; AZUL. - FR14004295. - LOC. CONTINENTAL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=HYPERLINK("https://leilaoonline.com.br/lote/detalhe/191024", "31038")</f>
      </c>
      <c r="B118" s="4" t="s">
        <f>=HYPERLINK("https://leilaoonline.com.br/lote/detalhe/191024", " TRATOR JOHN DEERE 7230J (SUCATEADO), ANO 2016, FR126106, LOC. SERRA ")</f>
      </c>
      <c r="C118" s="4" t="inlineStr">
        <is>
          <t>Não vendido</t>
        </is>
      </c>
      <c r="D118" s="4" t="inlineStr">
        <is>
          <t>76</t>
        </is>
      </c>
      <c r="E118" s="5" t="inlineStr">
        <is>
          <t>85.000,00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=HYPERLINK("https://leilaoonline.com.br/lote/detalhe/191021", "31049")</f>
      </c>
      <c r="B119" s="4" t="s">
        <f>=HYPERLINK("https://leilaoonline.com.br/lote/detalhe/191021", " ENLEIRADEIRA, S/FR, LOC. SERRA ")</f>
      </c>
      <c r="C119" s="4" t="inlineStr">
        <is>
          <t>Não vendido</t>
        </is>
      </c>
      <c r="D119" s="4" t="inlineStr">
        <is>
          <t>7</t>
        </is>
      </c>
      <c r="E119" s="5" t="inlineStr">
        <is>
          <t>2.500,00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=HYPERLINK("https://leilaoonline.com.br/lote/detalhe/191016", "31050")</f>
      </c>
      <c r="B120" s="4" t="s">
        <f>=HYPERLINK("https://leilaoonline.com.br/lote/detalhe/191016", " ENLEIRADEIRA. - FR17219. - LOC. SERRA")</f>
      </c>
      <c r="C120" s="4" t="inlineStr">
        <is>
          <t>Não vendido</t>
        </is>
      </c>
      <c r="D120" s="4" t="inlineStr">
        <is>
          <t>7</t>
        </is>
      </c>
      <c r="E120" s="5" t="inlineStr">
        <is>
          <t>2.500,00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=HYPERLINK("https://leilaoonline.com.br/lote/detalhe/191013", "31052")</f>
      </c>
      <c r="B121" s="4" t="s">
        <f>=HYPERLINK("https://leilaoonline.com.br/lote/detalhe/191013", " IMPLEMENTO DMB. - FR17144. - LOC. SERRA")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=HYPERLINK("https://leilaoonline.com.br/lote/detalhe/191015", "31054")</f>
      </c>
      <c r="B122" s="4" t="s">
        <f>=HYPERLINK("https://leilaoonline.com.br/lote/detalhe/191015", " IMPLEMENTO. - FR134059. - LOC. SERRA")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=HYPERLINK("https://leilaoonline.com.br/lote/detalhe/191022", "31056")</f>
      </c>
      <c r="B123" s="4" t="s">
        <f>=HYPERLINK("https://leilaoonline.com.br/lote/detalhe/191022", " CARRETA DE TORTA, FR17276, LOC. SERRA ")</f>
      </c>
      <c r="C123" s="4" t="inlineStr">
        <is>
          <t>Não vendido</t>
        </is>
      </c>
      <c r="D123" s="4" t="inlineStr">
        <is>
          <t>27</t>
        </is>
      </c>
      <c r="E123" s="5" t="inlineStr">
        <is>
          <t>16.000,00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=HYPERLINK("https://leilaoonline.com.br/lote/detalhe/190592", "31058")</f>
      </c>
      <c r="B124" s="4" t="s">
        <f>=HYPERLINK("https://leilaoonline.com.br/lote/detalhe/190592", " CARRETA DE TORTA, FR134002, LOC. SERRA 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=HYPERLINK("https://leilaoonline.com.br/lote/detalhe/191014", "31065")</f>
      </c>
      <c r="B125" s="4" t="s">
        <f>=HYPERLINK("https://leilaoonline.com.br/lote/detalhe/191014", " ELIMINADOR DE SOQUEIRA. - FR122343. - LOC. BONFIM")</f>
      </c>
      <c r="C125" s="4" t="inlineStr">
        <is>
          <t>Vendido</t>
        </is>
      </c>
      <c r="D125" s="4" t="inlineStr">
        <is>
          <t>29</t>
        </is>
      </c>
      <c r="E125" s="5" t="inlineStr">
        <is>
          <t>9.000,00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=HYPERLINK("https://leilaoonline.com.br/lote/detalhe/191046", "31067")</f>
      </c>
      <c r="B126" s="4" t="s">
        <f>=HYPERLINK("https://leilaoonline.com.br/lote/detalhe/191046", " CAMINHÃO MERCEDES BENZ L 1214; ANO 1991/1991; BRANCA. - CARROCERIA BAÚ C/ MOTOR; GERADOR E ARMARIO. - FR119595/121802. - LOC. BONFIM")</f>
      </c>
      <c r="C126" s="4" t="inlineStr">
        <is>
          <t>Vendido</t>
        </is>
      </c>
      <c r="D126" s="4" t="inlineStr">
        <is>
          <t>32</t>
        </is>
      </c>
      <c r="E126" s="5" t="inlineStr">
        <is>
          <t>46.000,00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=HYPERLINK("https://leilaoonline.com.br/lote/detalhe/190591", "31068")</f>
      </c>
      <c r="B127" s="4" t="s">
        <f>=HYPERLINK("https://leilaoonline.com.br/lote/detalhe/190591", " CAMINHÃO MERCEDES BENZ L 2215;  ANO 1986/1986; BRANCA. - FR119446/21785. - LOC. BONFIM ")</f>
      </c>
      <c r="C127" s="4" t="inlineStr">
        <is>
          <t>Não vendido</t>
        </is>
      </c>
      <c r="D127" s="4" t="inlineStr">
        <is>
          <t>70</t>
        </is>
      </c>
      <c r="E127" s="5" t="inlineStr">
        <is>
          <t>84.000,00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=HYPERLINK("https://leilaoonline.com.br/lote/detalhe/191044", "31075")</f>
      </c>
      <c r="B128" s="4" t="s">
        <f>=HYPERLINK("https://leilaoonline.com.br/lote/detalhe/191044", "ENFARDADEIRA CHALLENGER 2270., ANO 2015 - FR5003075. - LOC. LAGOA DA PRATA ")</f>
      </c>
      <c r="C128" s="4" t="inlineStr">
        <is>
          <t>Não vendido</t>
        </is>
      </c>
      <c r="D128" s="4" t="inlineStr">
        <is>
          <t>42</t>
        </is>
      </c>
      <c r="E128" s="5" t="inlineStr">
        <is>
          <t>121.000,00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=HYPERLINK("https://leilaoonline.com.br/lote/detalhe/191032", "31076")</f>
      </c>
      <c r="B129" s="4" t="s">
        <f>=HYPERLINK("https://leilaoonline.com.br/lote/detalhe/191032", "ENFARDADEIRA CHALLENGER 2270., ANO 2015 - FR5003074. - LOC. LAGOA DA PRATA ")</f>
      </c>
      <c r="C129" s="4" t="inlineStr">
        <is>
          <t>Não vendido</t>
        </is>
      </c>
      <c r="D129" s="4" t="inlineStr">
        <is>
          <t>42</t>
        </is>
      </c>
      <c r="E129" s="5" t="inlineStr">
        <is>
          <t>121.000,00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=HYPERLINK("https://leilaoonline.com.br/lote/detalhe/190594", "31094")</f>
      </c>
      <c r="B130" s="4" t="s">
        <f>=HYPERLINK("https://leilaoonline.com.br/lote/detalhe/190594", " 3 BALANÇAS ELETRÔNICAS; CAP 10 KG; MCA TOLEDO; MOD 2090. - S/FR. - LOC. LAGOA DA PRATA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=HYPERLINK("https://leilaoonline.com.br/lote/detalhe/191027", "31096")</f>
      </c>
      <c r="B131" s="4" t="s">
        <f>=HYPERLINK("https://leilaoonline.com.br/lote/detalhe/191027", "CARRETA ABRIGO; FAB. PRÓPRIA. VENDA S/ DOC - S/PLACA, FR164371 - LOC. JATAI")</f>
      </c>
      <c r="C131" s="4" t="inlineStr">
        <is>
          <t>Vendido</t>
        </is>
      </c>
      <c r="D131" s="4" t="inlineStr">
        <is>
          <t>6</t>
        </is>
      </c>
      <c r="E131" s="5" t="inlineStr">
        <is>
          <t>4.250,00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=HYPERLINK("https://leilaoonline.com.br/lote/detalhe/191030", "31107")</f>
      </c>
      <c r="B132" s="4" t="s">
        <f>=HYPERLINK("https://leilaoonline.com.br/lote/detalhe/191030", " SEMI-REBOQUE RANDON SRCA CA; ANO 2008/2008; AZUL. - FR91186. - LOC. JATAI ")</f>
      </c>
      <c r="C132" s="4" t="inlineStr">
        <is>
          <t>Vendido</t>
        </is>
      </c>
      <c r="D132" s="4" t="inlineStr">
        <is>
          <t>8</t>
        </is>
      </c>
      <c r="E132" s="5" t="inlineStr">
        <is>
          <t>27.000,00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=HYPERLINK("https://leilaoonline.com.br/lote/detalhe/191029", "31108")</f>
      </c>
      <c r="B133" s="4" t="s">
        <f>=HYPERLINK("https://leilaoonline.com.br/lote/detalhe/191029", " SEMI-REBOQUE RANDON SRCA CA; ANO 2008/2008; AZUL. - FR96237. - LOC. JATAI ")</f>
      </c>
      <c r="C133" s="4" t="inlineStr">
        <is>
          <t>Vendido</t>
        </is>
      </c>
      <c r="D133" s="4" t="inlineStr">
        <is>
          <t>16</t>
        </is>
      </c>
      <c r="E133" s="5" t="inlineStr">
        <is>
          <t>35.000,00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=HYPERLINK("https://leilaoonline.com.br/lote/detalhe/191036", "31110")</f>
      </c>
      <c r="B134" s="4" t="s">
        <f>=HYPERLINK("https://leilaoonline.com.br/lote/detalhe/191036", "APROX. 32 CONTÊINERES DE PLÁSTICO (IBC 100 LTS). - LOC. JATAI 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=HYPERLINK("https://leilaoonline.com.br/lote/detalhe/191033", "31112")</f>
      </c>
      <c r="B135" s="4" t="s">
        <f>=HYPERLINK("https://leilaoonline.com.br/lote/detalhe/191033", " SUCATA ELETRÔNICA; APROX. 70 REFLETORES/LUMINÁRIAS - VENDA POR LOTE (PRATELEIRA NÃO ESTÁ INCLUSA). - LOC. JATAÍ")</f>
      </c>
      <c r="C135" s="4" t="inlineStr">
        <is>
          <t>Vendido</t>
        </is>
      </c>
      <c r="D135" s="4" t="inlineStr">
        <is>
          <t>5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=HYPERLINK("https://leilaoonline.com.br/lote/detalhe/190593", "31113")</f>
      </c>
      <c r="B136" s="4" t="s">
        <f>=HYPERLINK("https://leilaoonline.com.br/lote/detalhe/190593", " APROX. 2 TON DE SUCATA DE FIOS DE COBRE. - LANCE POR KG. - LOC. JATAÍ")</f>
      </c>
      <c r="C136" s="4" t="inlineStr">
        <is>
          <t>Não vendido</t>
        </is>
      </c>
      <c r="D136" s="4" t="inlineStr">
        <is>
          <t>115</t>
        </is>
      </c>
      <c r="E136" s="5" t="inlineStr">
        <is>
          <t>30.200,00</t>
        </is>
      </c>
      <c r="F136" s="4" t="inlineStr">
        <is>
          <t>0.10</t>
        </is>
      </c>
    </row>
    <row collapsed="false" customFormat="false" customHeight="false" hidden="false" ht="12.1" outlineLevel="0" r="137">
      <c r="A137" s="5" t="s">
        <f>=HYPERLINK("https://leilaoonline.com.br/lote/detalhe/190595", "31114")</f>
      </c>
      <c r="B137" s="4" t="s">
        <f>=HYPERLINK("https://leilaoonline.com.br/lote/detalhe/190595", "MÁQUINA PARA LIMPEZA DE FILTRO; COR: AMARELA. - LOC. JATAÍ")</f>
      </c>
      <c r="C137" s="4" t="inlineStr">
        <is>
          <t>Não vendido</t>
        </is>
      </c>
      <c r="D137" s="4" t="inlineStr">
        <is>
          <t>4</t>
        </is>
      </c>
      <c r="E137" s="5" t="inlineStr">
        <is>
          <t>1.750,00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=HYPERLINK("https://leilaoonline.com.br/lote/detalhe/191043", "31115")</f>
      </c>
      <c r="B138" s="4" t="s">
        <f>=HYPERLINK("https://leilaoonline.com.br/lote/detalhe/191043", " 1 ESCADA DE ALUMINIO, 1 CX D AGUA 155LTS, 1 CAPOTA E 1 TOLDO, LOC. JATAI")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1.150,00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=HYPERLINK("https://leilaoonline.com.br/lote/detalhe/191038", "31124")</f>
      </c>
      <c r="B139" s="4" t="s">
        <f>=HYPERLINK("https://leilaoonline.com.br/lote/detalhe/191038", " TRATOR VALTRA BT 190 C/ IMPLEMENTO, ANO 2014, FR88486/122371, LOC. GASA ")</f>
      </c>
      <c r="C139" s="4" t="inlineStr">
        <is>
          <t>Vendido</t>
        </is>
      </c>
      <c r="D139" s="4" t="inlineStr">
        <is>
          <t>65</t>
        </is>
      </c>
      <c r="E139" s="5" t="inlineStr">
        <is>
          <t>74.000,00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=HYPERLINK("https://leilaoonline.com.br/lote/detalhe/191028", "31126")</f>
      </c>
      <c r="B140" s="4" t="s">
        <f>=HYPERLINK("https://leilaoonline.com.br/lote/detalhe/191028", " TRANSBORDO ATA 12T, ANO 2015, FR188721, LOC. GASA")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11.000,00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=HYPERLINK("https://leilaoonline.com.br/lote/detalhe/191037", "31129")</f>
      </c>
      <c r="B141" s="4" t="s">
        <f>=HYPERLINK("https://leilaoonline.com.br/lote/detalhe/191037", " TRATOR CASE MAGNUM 235, ANO 2014, FR90958, LOC. GASA ")</f>
      </c>
      <c r="C141" s="4" t="inlineStr">
        <is>
          <t>Não vendido</t>
        </is>
      </c>
      <c r="D141" s="4" t="inlineStr">
        <is>
          <t>84</t>
        </is>
      </c>
      <c r="E141" s="5" t="inlineStr">
        <is>
          <t>118.000,00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=HYPERLINK("https://leilaoonline.com.br/lote/detalhe/191040", "31142")</f>
      </c>
      <c r="B142" s="4" t="s">
        <f>=HYPERLINK("https://leilaoonline.com.br/lote/detalhe/191040", " TRATOR VALTRA BH 210, ANO 2015, FR188940, LOC. MUNDIAL ")</f>
      </c>
      <c r="C142" s="4" t="inlineStr">
        <is>
          <t>Não vendido</t>
        </is>
      </c>
      <c r="D142" s="4" t="inlineStr">
        <is>
          <t>82</t>
        </is>
      </c>
      <c r="E142" s="5" t="inlineStr">
        <is>
          <t>126.000,00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=HYPERLINK("https://leilaoonline.com.br/lote/detalhe/191035", "31149")</f>
      </c>
      <c r="B143" s="4" t="s">
        <f>=HYPERLINK("https://leilaoonline.com.br/lote/detalhe/191035", " TRATOR CASE MAGNUM 235, ANO 2014, FR81799, LOC. UNIVALEM")</f>
      </c>
      <c r="C143" s="4" t="inlineStr">
        <is>
          <t>Não vendido</t>
        </is>
      </c>
      <c r="D143" s="4" t="inlineStr">
        <is>
          <t>86</t>
        </is>
      </c>
      <c r="E143" s="5" t="inlineStr">
        <is>
          <t>120.000,00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=HYPERLINK("https://leilaoonline.com.br/lote/detalhe/191039", "31151")</f>
      </c>
      <c r="B144" s="4" t="s">
        <f>=HYPERLINK("https://leilaoonline.com.br/lote/detalhe/191039", " DISTRIBUIDORA DE TORTA, FR103061, ANO 2018 - LOC. UNIVALEM")</f>
      </c>
      <c r="C144" s="4" t="inlineStr">
        <is>
          <t>Não vendido</t>
        </is>
      </c>
      <c r="D144" s="4" t="inlineStr">
        <is>
          <t>50</t>
        </is>
      </c>
      <c r="E144" s="5" t="inlineStr">
        <is>
          <t>29.750,00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=HYPERLINK("https://leilaoonline.com.br/lote/detalhe/191034", "31164")</f>
      </c>
      <c r="B145" s="4" t="s">
        <f>=HYPERLINK("https://leilaoonline.com.br/lote/detalhe/191034", " 4 GELADEIRAS; 1 FOGÃO DE 4 BOCAS; 15 CADEIRAS; 4 VENTILADORES E 10 PARTES DE AR CONDICIONADO. - S/FR. - LOC. UNIVALEM ")</f>
      </c>
      <c r="C145" s="4" t="inlineStr">
        <is>
          <t>Vendido</t>
        </is>
      </c>
      <c r="D145" s="4" t="inlineStr">
        <is>
          <t>3</t>
        </is>
      </c>
      <c r="E145" s="5" t="inlineStr">
        <is>
          <t>800,00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=HYPERLINK("https://leilaoonline.com.br/lote/detalhe/191045", "31165")</f>
      </c>
      <c r="B146" s="4" t="s">
        <f>=HYPERLINK("https://leilaoonline.com.br/lote/detalhe/191045", " 2 ESTUFAS E 1 MIX, S/FR, LOC. UNIVALEM 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500,00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=HYPERLINK("https://leilaoonline.com.br/lote/detalhe/190632", "31167")</f>
      </c>
      <c r="B147" s="4" t="s">
        <f>=HYPERLINK("https://leilaoonline.com.br/lote/detalhe/190632", " REBOQUE RANDONSP RQ CA; ANO 2012/2012; AZUL. - FR70385. - LOC. DIAMANTE ")</f>
      </c>
      <c r="C147" s="4" t="inlineStr">
        <is>
          <t>Vendido</t>
        </is>
      </c>
      <c r="D147" s="4" t="inlineStr">
        <is>
          <t>29</t>
        </is>
      </c>
      <c r="E147" s="5" t="inlineStr">
        <is>
          <t>54.000,00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=HYPERLINK("https://leilaoonline.com.br/lote/detalhe/190634", "31169")</f>
      </c>
      <c r="B148" s="4" t="s">
        <f>=HYPERLINK("https://leilaoonline.com.br/lote/detalhe/190634", " REBOQUE RANDONSP RQ CA; ANO 2012/2013; CINZA. - FR82690. - LOC.DIAMANTE ")</f>
      </c>
      <c r="C148" s="4" t="inlineStr">
        <is>
          <t>Vendido</t>
        </is>
      </c>
      <c r="D148" s="4" t="inlineStr">
        <is>
          <t>39</t>
        </is>
      </c>
      <c r="E148" s="5" t="inlineStr">
        <is>
          <t>63.000,00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=HYPERLINK("https://leilaoonline.com.br/lote/detalhe/190674", "31172")</f>
      </c>
      <c r="B149" s="4" t="s">
        <f>=HYPERLINK("https://leilaoonline.com.br/lote/detalhe/190674", " SEMI-REBOQUE RANDONSP SRCA CA; ANO 2008/2008; AZUL. - FR88637. - LOC. DIAMANTE ")</f>
      </c>
      <c r="C149" s="4" t="inlineStr">
        <is>
          <t>Vendido</t>
        </is>
      </c>
      <c r="D149" s="4" t="inlineStr">
        <is>
          <t>9</t>
        </is>
      </c>
      <c r="E149" s="5" t="inlineStr">
        <is>
          <t>33.000,00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=HYPERLINK("https://leilaoonline.com.br/lote/detalhe/190635", "31173")</f>
      </c>
      <c r="B150" s="4" t="s">
        <f>=HYPERLINK("https://leilaoonline.com.br/lote/detalhe/190635", " REBOQUE RANDONSP RQ CA; ANO 2010/2010; AZUL. - FR96742. - LOC. DIAMANTE ")</f>
      </c>
      <c r="C150" s="4" t="inlineStr">
        <is>
          <t>Vendido</t>
        </is>
      </c>
      <c r="D150" s="4" t="inlineStr">
        <is>
          <t>24</t>
        </is>
      </c>
      <c r="E150" s="5" t="inlineStr">
        <is>
          <t>50.000,00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=HYPERLINK("https://leilaoonline.com.br/lote/detalhe/190673", "31175")</f>
      </c>
      <c r="B151" s="4" t="s">
        <f>=HYPERLINK("https://leilaoonline.com.br/lote/detalhe/190673", " SEMI-REBOQUE USICAMP SRCP E2 10000; ANO 2008/2008; AZUL. - FR56328. - LOC. DIAMANTE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=HYPERLINK("https://leilaoonline.com.br/lote/detalhe/190655", "31177")</f>
      </c>
      <c r="B152" s="4" t="s">
        <f>=HYPERLINK("https://leilaoonline.com.br/lote/detalhe/190655", " SEMI-REBOQUE USICAMP SRCP E2 10000; ANO 2008/2008; AZUL. - FR96252. - LOC. DIAMANTE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=HYPERLINK("https://leilaoonline.com.br/lote/detalhe/190645", "31179")</f>
      </c>
      <c r="B153" s="4" t="s">
        <f>=HYPERLINK("https://leilaoonline.com.br/lote/detalhe/190645", " REBOQUE RANDONSP RQ CA; ANO 2010/2010; AZUL. - FR96759. - LOC. DIAMANTE")</f>
      </c>
      <c r="C153" s="4" t="inlineStr">
        <is>
          <t>Não vendido</t>
        </is>
      </c>
      <c r="D153" s="4" t="inlineStr">
        <is>
          <t>3</t>
        </is>
      </c>
      <c r="E153" s="5" t="inlineStr">
        <is>
          <t>27.000,00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=HYPERLINK("https://leilaoonline.com.br/lote/detalhe/190664", "31182")</f>
      </c>
      <c r="B154" s="4" t="s">
        <f>=HYPERLINK("https://leilaoonline.com.br/lote/detalhe/190664", " SEMI-REBOQUE RANDONSP SRCA CA; ANO 2012/2013; CINZA. - FR82717. -  LOC. DIAMANTE")</f>
      </c>
      <c r="C154" s="4" t="inlineStr">
        <is>
          <t>Vendido</t>
        </is>
      </c>
      <c r="D154" s="4" t="inlineStr">
        <is>
          <t>16</t>
        </is>
      </c>
      <c r="E154" s="5" t="inlineStr">
        <is>
          <t>50.000,00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=HYPERLINK("https://leilaoonline.com.br/lote/detalhe/190641", "31183")</f>
      </c>
      <c r="B155" s="4" t="s">
        <f>=HYPERLINK("https://leilaoonline.com.br/lote/detalhe/190641", " REBOQUE RANDONSP RQ CA; ANO 2010/2010; AZUL. - FR96731. - LOC. DIAMANTE")</f>
      </c>
      <c r="C155" s="4" t="inlineStr">
        <is>
          <t>Não vendido</t>
        </is>
      </c>
      <c r="D155" s="4" t="inlineStr">
        <is>
          <t>13</t>
        </is>
      </c>
      <c r="E155" s="5" t="inlineStr">
        <is>
          <t>37.000,00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=HYPERLINK("https://leilaoonline.com.br/lote/detalhe/190516", "31184")</f>
      </c>
      <c r="B156" s="4" t="s">
        <f>=HYPERLINK("https://leilaoonline.com.br/lote/detalhe/190516", " CAMINHÃO MERCEDES BENZ; L 2635 6X4; ANO 1996/1996; BRANCO. - FR7827. - LOC.DIAMANTE")</f>
      </c>
      <c r="C156" s="4" t="inlineStr">
        <is>
          <t>Não vendido</t>
        </is>
      </c>
      <c r="D156" s="4" t="inlineStr">
        <is>
          <t>79</t>
        </is>
      </c>
      <c r="E156" s="5" t="inlineStr">
        <is>
          <t>114.000,00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=HYPERLINK("https://leilaoonline.com.br/lote/detalhe/190498", "31185")</f>
      </c>
      <c r="B157" s="4" t="s">
        <f>=HYPERLINK("https://leilaoonline.com.br/lote/detalhe/190498", "  (VEJA O VÍDEO) CARREGADEIRA SANTAL; BM 100; ANO 2015. - FR51456. - LOC. DIAMANTE ")</f>
      </c>
      <c r="C157" s="4" t="inlineStr">
        <is>
          <t>Vendido</t>
        </is>
      </c>
      <c r="D157" s="4" t="inlineStr">
        <is>
          <t>187</t>
        </is>
      </c>
      <c r="E157" s="5" t="inlineStr">
        <is>
          <t>259.000,00</t>
        </is>
      </c>
      <c r="F157" s="4" t="inlineStr">
        <is>
          <t>2000.00</t>
        </is>
      </c>
    </row>
    <row collapsed="false" customFormat="false" customHeight="false" hidden="false" ht="12.1" outlineLevel="0" r="158">
      <c r="A158" s="5" t="s">
        <f>=HYPERLINK("https://leilaoonline.com.br/lote/detalhe/190607", "31187")</f>
      </c>
      <c r="B158" s="4" t="s">
        <f>=HYPERLINK("https://leilaoonline.com.br/lote/detalhe/190607", " 2 ENLHEIRADEIRAS E 2 CAPOTAS DE FIBRA; ANO 2015. - FR106794/FR106793. - LOC. DIAMANTE ")</f>
      </c>
      <c r="C158" s="4" t="inlineStr">
        <is>
          <t>Não vendido</t>
        </is>
      </c>
      <c r="D158" s="4" t="inlineStr">
        <is>
          <t>3</t>
        </is>
      </c>
      <c r="E158" s="5" t="inlineStr">
        <is>
          <t>1.200,00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=HYPERLINK("https://leilaoonline.com.br/lote/detalhe/190614", "31188")</f>
      </c>
      <c r="B159" s="4" t="s">
        <f>=HYPERLINK("https://leilaoonline.com.br/lote/detalhe/190614", " 3 ENLHEIRADEIRAS E 2 CAPOTAS DE FIBRA; ANO 2006. - FR106792/FR70013. - LOC. DIAMANTE 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1.400,00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=HYPERLINK("https://leilaoonline.com.br/lote/detalhe/190512", "31189")</f>
      </c>
      <c r="B160" s="4" t="s">
        <f>=HYPERLINK("https://leilaoonline.com.br/lote/detalhe/190512", " 1 CULTIVADOR. - FR103394. - LOC. DIAMANTE")</f>
      </c>
      <c r="C160" s="4" t="inlineStr">
        <is>
          <t>Vendido</t>
        </is>
      </c>
      <c r="D160" s="4" t="inlineStr">
        <is>
          <t>28</t>
        </is>
      </c>
      <c r="E160" s="5" t="inlineStr">
        <is>
          <t>4.600,00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=HYPERLINK("https://leilaoonline.com.br/lote/detalhe/190529", "31190")</f>
      </c>
      <c r="B161" s="4" t="s">
        <f>=HYPERLINK("https://leilaoonline.com.br/lote/detalhe/190529", " 1 CULTIVADOR. - FR74033. - LOC. DIAMANTE")</f>
      </c>
      <c r="C161" s="4" t="inlineStr">
        <is>
          <t>Não vendido</t>
        </is>
      </c>
      <c r="D161" s="4" t="inlineStr">
        <is>
          <t>2</t>
        </is>
      </c>
      <c r="E161" s="5" t="inlineStr">
        <is>
          <t>1.100,00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=HYPERLINK("https://leilaoonline.com.br/lote/detalhe/190662", "31193")</f>
      </c>
      <c r="B162" s="4" t="s">
        <f>=HYPERLINK("https://leilaoonline.com.br/lote/detalhe/190662", " APROX. 7 SUCATAS DE IMPLEMENTO AGRICOLA E 1 BEBEDOURO. - FR103409/103430/74046/103098/70011/103452/103948, S/FR. - LOC. DIAMANTE ")</f>
      </c>
      <c r="C162" s="4" t="inlineStr">
        <is>
          <t>Não vendido</t>
        </is>
      </c>
      <c r="D162" s="4" t="inlineStr">
        <is>
          <t>39</t>
        </is>
      </c>
      <c r="E162" s="5" t="inlineStr">
        <is>
          <t>6.700,00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=HYPERLINK("https://leilaoonline.com.br/lote/detalhe/190685", "31194")</f>
      </c>
      <c r="B163" s="4" t="s">
        <f>=HYPERLINK("https://leilaoonline.com.br/lote/detalhe/190685", " APROX. 6 SUCATAS DE IMPLEMENTOS AGRICOLA. - FR103479/148271/3765/74028/74013/103375. - LOC. DIAMANTE ")</f>
      </c>
      <c r="C163" s="4" t="inlineStr">
        <is>
          <t>Vendido</t>
        </is>
      </c>
      <c r="D163" s="4" t="inlineStr">
        <is>
          <t>50</t>
        </is>
      </c>
      <c r="E163" s="5" t="inlineStr">
        <is>
          <t>9.900,00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=HYPERLINK("https://leilaoonline.com.br/lote/detalhe/190514", "31195")</f>
      </c>
      <c r="B164" s="4" t="s">
        <f>=HYPERLINK("https://leilaoonline.com.br/lote/detalhe/190514", " COLHEDORA JOHN DEERE 3522; ANO 2012. - FR62227. - LOC. SANTA CÂNDIDA 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25.000,00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=HYPERLINK("https://leilaoonline.com.br/lote/detalhe/190666", "31197")</f>
      </c>
      <c r="B165" s="4" t="s">
        <f>=HYPERLINK("https://leilaoonline.com.br/lote/detalhe/190666", " TRANSBORDO; ANO 2009. - FR101972. - LOC. SANTA CÂNDIDA 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10.000,00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=HYPERLINK("https://leilaoonline.com.br/lote/detalhe/190649", "31198")</f>
      </c>
      <c r="B166" s="4" t="s">
        <f>=HYPERLINK("https://leilaoonline.com.br/lote/detalhe/190649", " ROÇADEIRA. - FR605034. -  LOC. SANTA CÂNDIDA ")</f>
      </c>
      <c r="C166" s="4" t="inlineStr">
        <is>
          <t>Não vendido</t>
        </is>
      </c>
      <c r="D166" s="4" t="inlineStr">
        <is>
          <t>32</t>
        </is>
      </c>
      <c r="E166" s="5" t="inlineStr">
        <is>
          <t>6.000,00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=HYPERLINK("https://leilaoonline.com.br/lote/detalhe/190541", "31199")</f>
      </c>
      <c r="B167" s="4" t="s">
        <f>=HYPERLINK("https://leilaoonline.com.br/lote/detalhe/190541", " VOLKSWAGEN NOVO GOL TL MBV; ANO 2016/2017; BRANCO. - FR20073. - LOC. SANTA CANDIDA")</f>
      </c>
      <c r="C167" s="4" t="inlineStr">
        <is>
          <t>Vendido</t>
        </is>
      </c>
      <c r="D167" s="4" t="inlineStr">
        <is>
          <t>41</t>
        </is>
      </c>
      <c r="E167" s="5" t="inlineStr">
        <is>
          <t>30.000,00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=HYPERLINK("https://leilaoonline.com.br/lote/detalhe/190675", "31201")</f>
      </c>
      <c r="B168" s="4" t="s">
        <f>=HYPERLINK("https://leilaoonline.com.br/lote/detalhe/190675", " TRANSBORDO ATA; ANO 2010. - FR22738. - LOC. PARAÍSO ")</f>
      </c>
      <c r="C168" s="4" t="inlineStr">
        <is>
          <t>Não vendido</t>
        </is>
      </c>
      <c r="D168" s="4" t="inlineStr">
        <is>
          <t>20</t>
        </is>
      </c>
      <c r="E168" s="5" t="inlineStr">
        <is>
          <t>29.000,00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=HYPERLINK("https://leilaoonline.com.br/lote/detalhe/191201", "31204")</f>
      </c>
      <c r="B169" s="4" t="s">
        <f>=HYPERLINK("https://leilaoonline.com.br/lote/detalhe/191201", " TRANSBORDO ATA; ANO 2010. - FR47046. - LOC. PARAÍSO")</f>
      </c>
      <c r="C169" s="4" t="inlineStr">
        <is>
          <t>Não vendido</t>
        </is>
      </c>
      <c r="D169" s="4" t="inlineStr">
        <is>
          <t>20</t>
        </is>
      </c>
      <c r="E169" s="5" t="inlineStr">
        <is>
          <t>29.000,00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=HYPERLINK("https://leilaoonline.com.br/lote/detalhe/191211", "31206")</f>
      </c>
      <c r="B170" s="4" t="s">
        <f>=HYPERLINK("https://leilaoonline.com.br/lote/detalhe/191211", " TRANSBORDO ATA; ANO 2009. - FR55051. - LOC. PARAÍSO")</f>
      </c>
      <c r="C170" s="4" t="inlineStr">
        <is>
          <t>Vendido</t>
        </is>
      </c>
      <c r="D170" s="4" t="inlineStr">
        <is>
          <t>19</t>
        </is>
      </c>
      <c r="E170" s="5" t="inlineStr">
        <is>
          <t>27.250,00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=HYPERLINK("https://leilaoonline.com.br/lote/detalhe/190623", "31207")</f>
      </c>
      <c r="B171" s="4" t="s">
        <f>=HYPERLINK("https://leilaoonline.com.br/lote/detalhe/190623", " APROX. 150 PALLETS DE MADEIRA (LANCE POR UNIDADE) - S/FR. - LOC. PARAISO")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1,00</t>
        </is>
      </c>
      <c r="F171" s="4" t="inlineStr">
        <is>
          <t>0.20</t>
        </is>
      </c>
    </row>
    <row collapsed="false" customFormat="false" customHeight="false" hidden="false" ht="12.1" outlineLevel="0" r="172">
      <c r="A172" s="5" t="s">
        <f>=HYPERLINK("https://leilaoonline.com.br/lote/detalhe/190688", "31208")</f>
      </c>
      <c r="B172" s="4" t="s">
        <f>=HYPERLINK("https://leilaoonline.com.br/lote/detalhe/190688", " APROX. 7 TONELADAS DE SUCATA DE TUBOS DE  EVAPORAÇÃO (1'5p) - LANCE POR KILO. - S/FR, LOC. - PARAÍSO ")</f>
      </c>
      <c r="C172" s="4" t="inlineStr">
        <is>
          <t>Vendido</t>
        </is>
      </c>
      <c r="D172" s="4" t="inlineStr">
        <is>
          <t>30</t>
        </is>
      </c>
      <c r="E172" s="5" t="inlineStr">
        <is>
          <t>30.100,00</t>
        </is>
      </c>
      <c r="F172" s="4" t="inlineStr">
        <is>
          <t>0.10</t>
        </is>
      </c>
    </row>
    <row collapsed="false" customFormat="false" customHeight="false" hidden="false" ht="12.1" outlineLevel="0" r="173">
      <c r="A173" s="5" t="s">
        <f>=HYPERLINK("https://leilaoonline.com.br/lote/detalhe/190625", "31209")</f>
      </c>
      <c r="B173" s="4" t="s">
        <f>=HYPERLINK("https://leilaoonline.com.br/lote/detalhe/190625", " PONTE ROLANTE MAUSA  15T. - S/FR. - LOC. PARAÍSO")</f>
      </c>
      <c r="C173" s="4" t="inlineStr">
        <is>
          <t>Não vendido</t>
        </is>
      </c>
      <c r="D173" s="4" t="inlineStr">
        <is>
          <t>89</t>
        </is>
      </c>
      <c r="E173" s="5" t="inlineStr">
        <is>
          <t>67.500,00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=HYPERLINK("https://leilaoonline.com.br/lote/detalhe/190534", "31210")</f>
      </c>
      <c r="B174" s="4" t="s">
        <f>=HYPERLINK("https://leilaoonline.com.br/lote/detalhe/190534", "  (VEJA O VÍDEO) TRATOR VALTRA BH 205; ANO 2011. - FR163445. - LOC. BARRA ")</f>
      </c>
      <c r="C174" s="4" t="inlineStr">
        <is>
          <t>Vendido</t>
        </is>
      </c>
      <c r="D174" s="4" t="inlineStr">
        <is>
          <t>103</t>
        </is>
      </c>
      <c r="E174" s="5" t="inlineStr">
        <is>
          <t>142.000,00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=HYPERLINK("https://leilaoonline.com.br/lote/detalhe/190533", "31211")</f>
      </c>
      <c r="B175" s="4" t="s">
        <f>=HYPERLINK("https://leilaoonline.com.br/lote/detalhe/190533", " (VEJA O VÍDEO) TRATOR VALTRA BH210; ANO 2014; FR71888. - LOC. BARRA ")</f>
      </c>
      <c r="C175" s="4" t="inlineStr">
        <is>
          <t>Vendido</t>
        </is>
      </c>
      <c r="D175" s="4" t="inlineStr">
        <is>
          <t>161</t>
        </is>
      </c>
      <c r="E175" s="5" t="inlineStr">
        <is>
          <t>204.000,00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=HYPERLINK("https://leilaoonline.com.br/lote/detalhe/190536", "31212")</f>
      </c>
      <c r="B176" s="4" t="s">
        <f>=HYPERLINK("https://leilaoonline.com.br/lote/detalhe/190536", " (VEJA O VÍDEO) GM/ S10 COLINA S 4X4, DIESEL; ANO 2009/2010; BRANCA. - FR71401. - LOC. BARRA ")</f>
      </c>
      <c r="C176" s="4" t="inlineStr">
        <is>
          <t>Vendido</t>
        </is>
      </c>
      <c r="D176" s="4" t="inlineStr">
        <is>
          <t>35</t>
        </is>
      </c>
      <c r="E176" s="5" t="inlineStr">
        <is>
          <t>44.000,00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=HYPERLINK("https://leilaoonline.com.br/lote/detalhe/190507", "31213")</f>
      </c>
      <c r="B177" s="4" t="s">
        <f>=HYPERLINK("https://leilaoonline.com.br/lote/detalhe/190507", " 6 PARTES DE ESTEIRAS (APROX. 4 MTS. CADA). - S/FR. - LOC. BARRA ")</f>
      </c>
      <c r="C177" s="4" t="inlineStr">
        <is>
          <t>Vendido</t>
        </is>
      </c>
      <c r="D177" s="4" t="inlineStr">
        <is>
          <t>16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=HYPERLINK("https://leilaoonline.com.br/lote/detalhe/190611", "31214")</f>
      </c>
      <c r="B178" s="4" t="s">
        <f>=HYPERLINK("https://leilaoonline.com.br/lote/detalhe/190611", " 5 ESTEIRAS; 1 QUEBRA TORRÃO, SENDO: (2 EST. DE BORRACHA, 2 EST. TIPO DETECTOR DE METAIS e 1 EST. CURVA). - S/FR. - LOC. BARRA ")</f>
      </c>
      <c r="C178" s="4" t="inlineStr">
        <is>
          <t>Não vendido</t>
        </is>
      </c>
      <c r="D178" s="4" t="inlineStr">
        <is>
          <t>25</t>
        </is>
      </c>
      <c r="E178" s="5" t="inlineStr">
        <is>
          <t>5.500,00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=HYPERLINK("https://leilaoonline.com.br/lote/detalhe/190643", "31215")</f>
      </c>
      <c r="B179" s="4" t="s">
        <f>=HYPERLINK("https://leilaoonline.com.br/lote/detalhe/190643", " ROSCA C/ COCHO; MOTOR; REDUTOR. - S/FR. - LOC. BARRA ")</f>
      </c>
      <c r="C179" s="4" t="inlineStr">
        <is>
          <t>Não vendido</t>
        </is>
      </c>
      <c r="D179" s="4" t="inlineStr">
        <is>
          <t>30</t>
        </is>
      </c>
      <c r="E179" s="5" t="inlineStr">
        <is>
          <t>6.000,00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=HYPERLINK("https://leilaoonline.com.br/lote/detalhe/190686", "31216")</f>
      </c>
      <c r="B180" s="4" t="s">
        <f>=HYPERLINK("https://leilaoonline.com.br/lote/detalhe/190686", " 1 TANQUE DE INOX MEXEDOR (1000LTS. APROX.) E 1 TANQUE DE FIBRA (500LTS APROX.) S/FR. - LOC. BARRA ")</f>
      </c>
      <c r="C180" s="4" t="inlineStr">
        <is>
          <t>Vendido</t>
        </is>
      </c>
      <c r="D180" s="4" t="inlineStr">
        <is>
          <t>10</t>
        </is>
      </c>
      <c r="E180" s="5" t="inlineStr">
        <is>
          <t>3.750,00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=HYPERLINK("https://leilaoonline.com.br/lote/detalhe/190689", "31217")</f>
      </c>
      <c r="B181" s="4" t="s">
        <f>=HYPERLINK("https://leilaoonline.com.br/lote/detalhe/190689", " APROX. 1 TON. DE SUCATA DE LONA DE BORRACHA (VENDA POR LOTE). - S/FR. - LOC. BARRA ")</f>
      </c>
      <c r="C181" s="4" t="inlineStr">
        <is>
          <t>Vendido</t>
        </is>
      </c>
      <c r="D181" s="4" t="inlineStr">
        <is>
          <t>16</t>
        </is>
      </c>
      <c r="E181" s="5" t="inlineStr">
        <is>
          <t>3.000,00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=HYPERLINK("https://leilaoonline.com.br/lote/detalhe/190683", "31218")</f>
      </c>
      <c r="B182" s="4" t="s">
        <f>=HYPERLINK("https://leilaoonline.com.br/lote/detalhe/190683", " APROX. 50 UNIDADES DE SUCATAS DE MOTORES ELÉTRICOS (LOTE APENAS OS MOTORES). - S/FR. - LOC. BARRA ")</f>
      </c>
      <c r="C182" s="4" t="inlineStr">
        <is>
          <t>Vendido</t>
        </is>
      </c>
      <c r="D182" s="4" t="inlineStr">
        <is>
          <t>14</t>
        </is>
      </c>
      <c r="E182" s="5" t="inlineStr">
        <is>
          <t>11.500,00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=HYPERLINK("https://leilaoonline.com.br/lote/detalhe/190661", "31219")</f>
      </c>
      <c r="B183" s="4" t="s">
        <f>=HYPERLINK("https://leilaoonline.com.br/lote/detalhe/190661", " APROX. 1 TON. DE SUCATA CINTA SLINGUE (SERÁ VENDIDO COMO SUCATA DE RAF); (VENDA POR LOTE). - S/FR. - LOC. BARRA ")</f>
      </c>
      <c r="C183" s="4" t="inlineStr">
        <is>
          <t>Vendido</t>
        </is>
      </c>
      <c r="D183" s="4" t="inlineStr">
        <is>
          <t>93</t>
        </is>
      </c>
      <c r="E183" s="5" t="inlineStr">
        <is>
          <t>1.980,00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=HYPERLINK("https://leilaoonline.com.br/lote/detalhe/190496", "31220")</f>
      </c>
      <c r="B184" s="4" t="s">
        <f>=HYPERLINK("https://leilaoonline.com.br/lote/detalhe/190496", " CAMINHÃO COMBOIO VOLKSWAGEN 15.180 EURO3 WORKER; ANO 2010/2010; BRANCA. - FR96495/98561. - LOC. BARRA ")</f>
      </c>
      <c r="C184" s="4" t="inlineStr">
        <is>
          <t>Vendido</t>
        </is>
      </c>
      <c r="D184" s="4" t="inlineStr">
        <is>
          <t>184</t>
        </is>
      </c>
      <c r="E184" s="5" t="inlineStr">
        <is>
          <t>227.000,00</t>
        </is>
      </c>
      <c r="F184" s="4" t="inlineStr">
        <is>
          <t>2000.00</t>
        </is>
      </c>
    </row>
    <row collapsed="false" customFormat="false" customHeight="false" hidden="false" ht="12.1" outlineLevel="0" r="185">
      <c r="A185" s="5" t="s">
        <f>=HYPERLINK("https://leilaoonline.com.br/lote/detalhe/190537", "31221")</f>
      </c>
      <c r="B185" s="4" t="s">
        <f>=HYPERLINK("https://leilaoonline.com.br/lote/detalhe/190537", " TRATOR JOHN DERRE 7225 J; ANO 2012. - FR23237. - LOC. BARRA ")</f>
      </c>
      <c r="C185" s="4" t="inlineStr">
        <is>
          <t>Não vendido</t>
        </is>
      </c>
      <c r="D185" s="4" t="inlineStr">
        <is>
          <t>112</t>
        </is>
      </c>
      <c r="E185" s="5" t="inlineStr">
        <is>
          <t>147.000,00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=HYPERLINK("https://leilaoonline.com.br/lote/detalhe/190491", "31223")</f>
      </c>
      <c r="B186" s="4" t="s">
        <f>=HYPERLINK("https://leilaoonline.com.br/lote/detalhe/190491", " CAMINHÃO VOLKSWAGEN 8.120 EURO3; ANO 2010/2010; BRANCA. - FR96337. - (FALTA: MOTOR/CÂMBIO/OUTROS). - LOC. BARRA")</f>
      </c>
      <c r="C186" s="4" t="inlineStr">
        <is>
          <t>Vendido</t>
        </is>
      </c>
      <c r="D186" s="4" t="inlineStr">
        <is>
          <t>50</t>
        </is>
      </c>
      <c r="E186" s="5" t="inlineStr">
        <is>
          <t>74.000,00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=HYPERLINK("https://leilaoonline.com.br/lote/detalhe/190542", "31224")</f>
      </c>
      <c r="B187" s="4" t="s">
        <f>=HYPERLINK("https://leilaoonline.com.br/lote/detalhe/190542", " TRATOR VALTRA BH 180; ANO 2004. - FR50893. - LOC. BARRA ")</f>
      </c>
      <c r="C187" s="4" t="inlineStr">
        <is>
          <t>Não vendido</t>
        </is>
      </c>
      <c r="D187" s="4" t="inlineStr">
        <is>
          <t>79</t>
        </is>
      </c>
      <c r="E187" s="5" t="inlineStr">
        <is>
          <t>113.000,00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=HYPERLINK("https://leilaoonline.com.br/lote/detalhe/190620", "31225")</f>
      </c>
      <c r="B188" s="4" t="s">
        <f>=HYPERLINK("https://leilaoonline.com.br/lote/detalhe/190620", " REBOQUE LENÇOIS RRTC; ANO 1995/1995; AZUL (VENDA COM HIDRO ROLL). (MOTOR CADASTRADO INEXISTENTE / CARROCERIA DIVERGENTE) - FR102417/70515. - LOC. BARRA")</f>
      </c>
      <c r="C188" s="4" t="inlineStr">
        <is>
          <t>Não vendido</t>
        </is>
      </c>
      <c r="D188" s="4" t="inlineStr">
        <is>
          <t>3</t>
        </is>
      </c>
      <c r="E188" s="5" t="inlineStr">
        <is>
          <t>8.500,00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=HYPERLINK("https://leilaoonline.com.br/lote/detalhe/190502", "31226")</f>
      </c>
      <c r="B189" s="4" t="s">
        <f>=HYPERLINK("https://leilaoonline.com.br/lote/detalhe/190502", "  (VEJA O VÍDEO) CARREGADEIRA MOTOCANA / MASSEY FERGUNSON 290., ANO 2010 - FR100907. - LOC. BARRA")</f>
      </c>
      <c r="C189" s="4" t="inlineStr">
        <is>
          <t>Não vendido</t>
        </is>
      </c>
      <c r="D189" s="4" t="inlineStr">
        <is>
          <t>136</t>
        </is>
      </c>
      <c r="E189" s="5" t="inlineStr">
        <is>
          <t>157.000,00</t>
        </is>
      </c>
      <c r="F189" s="4" t="inlineStr">
        <is>
          <t>2000.00</t>
        </is>
      </c>
    </row>
    <row collapsed="false" customFormat="false" customHeight="false" hidden="false" ht="12.1" outlineLevel="0" r="190">
      <c r="A190" s="5" t="s">
        <f>=HYPERLINK("https://leilaoonline.com.br/lote/detalhe/190510", "31227")</f>
      </c>
      <c r="B190" s="4" t="s">
        <f>=HYPERLINK("https://leilaoonline.com.br/lote/detalhe/190510", " CAMINHÃO VOLKSWAGEN 26.220 EURO3 WORKER; ANO 2010/2010; BRANCA. (CARROCERIA DIVERGENTE) - FR72508. - LOC. BARRA ")</f>
      </c>
      <c r="C190" s="4" t="inlineStr">
        <is>
          <t>Vendido</t>
        </is>
      </c>
      <c r="D190" s="4" t="inlineStr">
        <is>
          <t>149</t>
        </is>
      </c>
      <c r="E190" s="5" t="inlineStr">
        <is>
          <t>211.000,00</t>
        </is>
      </c>
      <c r="F190" s="4" t="inlineStr">
        <is>
          <t>2000.00</t>
        </is>
      </c>
    </row>
    <row collapsed="false" customFormat="false" customHeight="false" hidden="false" ht="12.1" outlineLevel="0" r="191">
      <c r="A191" s="5" t="s">
        <f>=HYPERLINK("https://leilaoonline.com.br/lote/detalhe/190628", "31228")</f>
      </c>
      <c r="B191" s="4" t="s">
        <f>=HYPERLINK("https://leilaoonline.com.br/lote/detalhe/190628", " REBOQUE FACCHINI RFRBC; ANO 1992/1992; AZUL (VENDA COM HIDRO ROLL). - (CARROCERIA DIVERGENTE) - FR102431/96136. -  LOC. BARRA ")</f>
      </c>
      <c r="C191" s="4" t="inlineStr">
        <is>
          <t>Vendido</t>
        </is>
      </c>
      <c r="D191" s="4" t="inlineStr">
        <is>
          <t>12</t>
        </is>
      </c>
      <c r="E191" s="5" t="inlineStr">
        <is>
          <t>13.000,00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=HYPERLINK("https://leilaoonline.com.br/lote/detalhe/190605", "31229")</f>
      </c>
      <c r="B192" s="4" t="s">
        <f>=HYPERLINK("https://leilaoonline.com.br/lote/detalhe/190605", " FILTRO MAUSA. - S/ FR. - LOC. ZANIN")</f>
      </c>
      <c r="C192" s="4" t="inlineStr">
        <is>
          <t>Vendido</t>
        </is>
      </c>
      <c r="D192" s="4" t="inlineStr">
        <is>
          <t>38</t>
        </is>
      </c>
      <c r="E192" s="5" t="inlineStr">
        <is>
          <t>35.000,00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=HYPERLINK("https://leilaoonline.com.br/lote/detalhe/190506", "31231")</f>
      </c>
      <c r="B193" s="4" t="s">
        <f>=HYPERLINK("https://leilaoonline.com.br/lote/detalhe/190506", " 1 AQUECEDOR. - S/FR. - LOC. ZANIN")</f>
      </c>
      <c r="C193" s="4" t="inlineStr">
        <is>
          <t>Vendido</t>
        </is>
      </c>
      <c r="D193" s="4" t="inlineStr">
        <is>
          <t>16</t>
        </is>
      </c>
      <c r="E193" s="5" t="inlineStr">
        <is>
          <t>6.750,00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=HYPERLINK("https://leilaoonline.com.br/lote/detalhe/190505", "31232")</f>
      </c>
      <c r="B194" s="4" t="s">
        <f>=HYPERLINK("https://leilaoonline.com.br/lote/detalhe/190505", " BALÃO E 02 TANQUES. - S/FR. - LOC. ZANIN")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1.200,00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=HYPERLINK("https://leilaoonline.com.br/lote/detalhe/190616", "31233")</f>
      </c>
      <c r="B195" s="4" t="s">
        <f>=HYPERLINK("https://leilaoonline.com.br/lote/detalhe/190616", " ESTEIRA. - S/ FR. - LOC. ZANIN")</f>
      </c>
      <c r="C195" s="4" t="inlineStr">
        <is>
          <t>Vendido</t>
        </is>
      </c>
      <c r="D195" s="4" t="inlineStr">
        <is>
          <t>26</t>
        </is>
      </c>
      <c r="E195" s="5" t="inlineStr">
        <is>
          <t>4.900,00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=HYPERLINK("https://leilaoonline.com.br/lote/detalhe/190535", "31234")</f>
      </c>
      <c r="B196" s="4" t="s">
        <f>=HYPERLINK("https://leilaoonline.com.br/lote/detalhe/190535", " TUBOS DE FIBRA E 1 CX D'AGUA. - S/ FR. - LOC. ZANIN")</f>
      </c>
      <c r="C196" s="4" t="inlineStr">
        <is>
          <t>Não vendido</t>
        </is>
      </c>
      <c r="D196" s="4" t="inlineStr">
        <is>
          <t>82</t>
        </is>
      </c>
      <c r="E196" s="5" t="inlineStr">
        <is>
          <t>2.230,00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=HYPERLINK("https://leilaoonline.com.br/lote/detalhe/190667", "31235")</f>
      </c>
      <c r="B197" s="4" t="s">
        <f>=HYPERLINK("https://leilaoonline.com.br/lote/detalhe/190667", " 3 TANQUES DE AÇO. - S/FR. - LOC. ZANIN")</f>
      </c>
      <c r="C197" s="4" t="inlineStr">
        <is>
          <t>Vendido</t>
        </is>
      </c>
      <c r="D197" s="4" t="inlineStr">
        <is>
          <t>26</t>
        </is>
      </c>
      <c r="E197" s="5" t="inlineStr">
        <is>
          <t>6.000,00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=HYPERLINK("https://leilaoonline.com.br/lote/detalhe/190499", "31236")</f>
      </c>
      <c r="B198" s="4" t="s">
        <f>=HYPERLINK("https://leilaoonline.com.br/lote/detalhe/190499", " CARRETA DE SERVIÇOS GERAIS. - S/FR. - LOC. ZANIN")</f>
      </c>
      <c r="C198" s="4" t="inlineStr">
        <is>
          <t>Vendido</t>
        </is>
      </c>
      <c r="D198" s="4" t="inlineStr">
        <is>
          <t>10</t>
        </is>
      </c>
      <c r="E198" s="5" t="inlineStr">
        <is>
          <t>1.400,00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=HYPERLINK("https://leilaoonline.com.br/lote/detalhe/190626", "31237")</f>
      </c>
      <c r="B199" s="4" t="s">
        <f>=HYPERLINK("https://leilaoonline.com.br/lote/detalhe/190626", " PENEIRA SEM REDUTOR. - S/FR. - LOC. ZANIN")</f>
      </c>
      <c r="C199" s="4" t="inlineStr">
        <is>
          <t>Vendido</t>
        </is>
      </c>
      <c r="D199" s="4" t="inlineStr">
        <is>
          <t>53</t>
        </is>
      </c>
      <c r="E199" s="5" t="inlineStr">
        <is>
          <t>10.600,00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=HYPERLINK("https://leilaoonline.com.br/lote/detalhe/190639", "31238")</f>
      </c>
      <c r="B200" s="4" t="s">
        <f>=HYPERLINK("https://leilaoonline.com.br/lote/detalhe/190639", " ROLO. - FR361603. - LOC. ZANIN")</f>
      </c>
      <c r="C200" s="4" t="inlineStr">
        <is>
          <t>Não vendido</t>
        </is>
      </c>
      <c r="D200" s="4" t="inlineStr">
        <is>
          <t>29</t>
        </is>
      </c>
      <c r="E200" s="5" t="inlineStr">
        <is>
          <t>3.700,00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=HYPERLINK("https://leilaoonline.com.br/lote/detalhe/190660", "31239")</f>
      </c>
      <c r="B201" s="4" t="s">
        <f>=HYPERLINK("https://leilaoonline.com.br/lote/detalhe/190660", " APROX. 6 SUCATAS DE SUCADOR. - FR361133/134034/361805/361803/17133. - LOC. ZANIN")</f>
      </c>
      <c r="C201" s="4" t="inlineStr">
        <is>
          <t>Não vendido</t>
        </is>
      </c>
      <c r="D201" s="4" t="inlineStr">
        <is>
          <t>84</t>
        </is>
      </c>
      <c r="E201" s="5" t="inlineStr">
        <is>
          <t>32.100,00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=HYPERLINK("https://leilaoonline.com.br/lote/detalhe/190618", "31240")</f>
      </c>
      <c r="B202" s="4" t="s">
        <f>=HYPERLINK("https://leilaoonline.com.br/lote/detalhe/190618", "SUCATA DE PAINÉIS ELÉTRICOS EM GERAL (APROX. 25 PEÇAS). - S/FR. - LOC. ZANIN")</f>
      </c>
      <c r="C202" s="4" t="inlineStr">
        <is>
          <t>Vendido</t>
        </is>
      </c>
      <c r="D202" s="4" t="inlineStr">
        <is>
          <t>96</t>
        </is>
      </c>
      <c r="E202" s="5" t="inlineStr">
        <is>
          <t>47.000,00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=HYPERLINK("https://leilaoonline.com.br/lote/detalhe/190613", "31241")</f>
      </c>
      <c r="B203" s="4" t="s">
        <f>=HYPERLINK("https://leilaoonline.com.br/lote/detalhe/190613", "SUCATA DE MOTORES ELÉTRICOS. - S/FR. (APROX. 40 UNID.) - LOC. ZANIN")</f>
      </c>
      <c r="C203" s="4" t="inlineStr">
        <is>
          <t>Vendido</t>
        </is>
      </c>
      <c r="D203" s="4" t="inlineStr">
        <is>
          <t>153</t>
        </is>
      </c>
      <c r="E203" s="5" t="inlineStr">
        <is>
          <t>89.750,00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=HYPERLINK("https://leilaoonline.com.br/lote/detalhe/190490", "31242")</f>
      </c>
      <c r="B204" s="4" t="s">
        <f>=HYPERLINK("https://leilaoonline.com.br/lote/detalhe/190490", " 4 AQUECEDORES. - S/FR. - LOC. ZANIN")</f>
      </c>
      <c r="C204" s="4" t="inlineStr">
        <is>
          <t>Vendido</t>
        </is>
      </c>
      <c r="D204" s="4" t="inlineStr">
        <is>
          <t>51</t>
        </is>
      </c>
      <c r="E204" s="5" t="inlineStr">
        <is>
          <t>33.000,00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=HYPERLINK("https://leilaoonline.com.br/lote/detalhe/190599", "31243")</f>
      </c>
      <c r="B205" s="4" t="s">
        <f>=HYPERLINK("https://leilaoonline.com.br/lote/detalhe/190599", " IMPLEMENTO AGRÍCOLA (SUCATEADO). - FR122375. - LOC. ZANIN")</f>
      </c>
      <c r="C205" s="4" t="inlineStr">
        <is>
          <t>Não vendido</t>
        </is>
      </c>
      <c r="D205" s="4" t="inlineStr">
        <is>
          <t>19</t>
        </is>
      </c>
      <c r="E205" s="5" t="inlineStr">
        <is>
          <t>2.700,00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=HYPERLINK("https://leilaoonline.com.br/lote/detalhe/190522", "31244")</f>
      </c>
      <c r="B206" s="4" t="s">
        <f>=HYPERLINK("https://leilaoonline.com.br/lote/detalhe/190522", " CONDICIONADOR DE AR (2 PARTES BRANCAS e 2 VERDES). - S/FR. - LOC. ZANIN")</f>
      </c>
      <c r="C206" s="4" t="inlineStr">
        <is>
          <t>Vendido</t>
        </is>
      </c>
      <c r="D206" s="4" t="inlineStr">
        <is>
          <t>35</t>
        </is>
      </c>
      <c r="E206" s="5" t="inlineStr">
        <is>
          <t>8.700,00</t>
        </is>
      </c>
      <c r="F206" s="4" t="inlineStr">
        <is>
          <t>300.00</t>
        </is>
      </c>
    </row>
    <row collapsed="false" customFormat="false" customHeight="false" hidden="false" ht="12.1" outlineLevel="0" r="207">
      <c r="A207" s="5" t="s">
        <f>=HYPERLINK("https://leilaoonline.com.br/lote/detalhe/190638", "31245")</f>
      </c>
      <c r="B207" s="4" t="s">
        <f>=HYPERLINK("https://leilaoonline.com.br/lote/detalhe/190638", " REBOQUE RANDONSP RQ CA; ANO 2012/2013; CINZA. - FR121568. - LOC. ZANIN")</f>
      </c>
      <c r="C207" s="4" t="inlineStr">
        <is>
          <t>Não vendido</t>
        </is>
      </c>
      <c r="D207" s="4" t="inlineStr">
        <is>
          <t>37</t>
        </is>
      </c>
      <c r="E207" s="5" t="inlineStr">
        <is>
          <t>61.000,00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=HYPERLINK("https://leilaoonline.com.br/lote/detalhe/190647", "31246")</f>
      </c>
      <c r="B208" s="4" t="s">
        <f>=HYPERLINK("https://leilaoonline.com.br/lote/detalhe/190647", " REBOQUE RANDONSP RQ CA; ANO 2012/2013; CINZA. - FR361336. - LOC. ZANIN")</f>
      </c>
      <c r="C208" s="4" t="inlineStr">
        <is>
          <t>Vendido</t>
        </is>
      </c>
      <c r="D208" s="4" t="inlineStr">
        <is>
          <t>29</t>
        </is>
      </c>
      <c r="E208" s="5" t="inlineStr">
        <is>
          <t>53.000,00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=HYPERLINK("https://leilaoonline.com.br/lote/detalhe/190518", "31248")</f>
      </c>
      <c r="B209" s="4" t="s">
        <f>=HYPERLINK("https://leilaoonline.com.br/lote/detalhe/190518", " COLHEDORA JOHN DEERE (SUCATEADA). ANO 2008 - FR49561. - LOC. ZANIN")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=HYPERLINK("https://leilaoonline.com.br/lote/detalhe/190501", "31250")</f>
      </c>
      <c r="B210" s="4" t="s">
        <f>=HYPERLINK("https://leilaoonline.com.br/lote/detalhe/190501", " CAMINHÃO MERCEDES BENZ; AXOR 3344S 6X4;  ANO 2014/2014; BRANCO. - FR362066. - LOC. ZANIN")</f>
      </c>
      <c r="C210" s="4" t="inlineStr">
        <is>
          <t>Vendido</t>
        </is>
      </c>
      <c r="D210" s="4" t="inlineStr">
        <is>
          <t>37</t>
        </is>
      </c>
      <c r="E210" s="5" t="inlineStr">
        <is>
          <t>76.000,00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=HYPERLINK("https://leilaoonline.com.br/lote/detalhe/190600", "31252")</f>
      </c>
      <c r="B211" s="4" t="s">
        <f>=HYPERLINK("https://leilaoonline.com.br/lote/detalhe/190600", " APROX. 50 PNEUS USADOS. - S/FR. - LOC. SERRA")</f>
      </c>
      <c r="C211" s="4" t="inlineStr">
        <is>
          <t>Vendido</t>
        </is>
      </c>
      <c r="D211" s="4" t="inlineStr">
        <is>
          <t>23</t>
        </is>
      </c>
      <c r="E211" s="5" t="inlineStr">
        <is>
          <t>3.800,00</t>
        </is>
      </c>
      <c r="F211" s="4" t="inlineStr">
        <is>
          <t>300.00</t>
        </is>
      </c>
    </row>
    <row collapsed="false" customFormat="false" customHeight="false" hidden="false" ht="12.1" outlineLevel="0" r="212">
      <c r="A212" s="5" t="s">
        <f>=HYPERLINK("https://leilaoonline.com.br/lote/detalhe/190545", "31253")</f>
      </c>
      <c r="B212" s="4" t="s">
        <f>=HYPERLINK("https://leilaoonline.com.br/lote/detalhe/190545", " CHEVROLET S10 LS FD2; ANO 2014/2014; BRANCA. - FR10030. - LOC. SERRA")</f>
      </c>
      <c r="C212" s="4" t="inlineStr">
        <is>
          <t>Não vendido</t>
        </is>
      </c>
      <c r="D212" s="4" t="inlineStr">
        <is>
          <t>30</t>
        </is>
      </c>
      <c r="E212" s="5" t="inlineStr">
        <is>
          <t>49.000,00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=HYPERLINK("https://leilaoonline.com.br/lote/detalhe/190495", "31254")</f>
      </c>
      <c r="B213" s="4" t="s">
        <f>=HYPERLINK("https://leilaoonline.com.br/lote/detalhe/190495", " CARREGADEIRA SANTAL; MASSEY FERGUSON 290. ANO 2004 - FROTA 360970 (7031). - LOC. SERRA")</f>
      </c>
      <c r="C213" s="4" t="inlineStr">
        <is>
          <t>Vendido</t>
        </is>
      </c>
      <c r="D213" s="4" t="inlineStr">
        <is>
          <t>83</t>
        </is>
      </c>
      <c r="E213" s="5" t="inlineStr">
        <is>
          <t>102.000,00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=HYPERLINK("https://leilaoonline.com.br/lote/detalhe/191215", "31255")</f>
      </c>
      <c r="B214" s="4" t="s">
        <f>=HYPERLINK("https://leilaoonline.com.br/lote/detalhe/191215", " TRANSBORDO SANTAL; ANO 2015. - FR17309. - LOC. SERRA")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11.000,00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=HYPERLINK("https://leilaoonline.com.br/lote/detalhe/191219", "31259")</f>
      </c>
      <c r="B215" s="4" t="s">
        <f>=HYPERLINK("https://leilaoonline.com.br/lote/detalhe/191219", " TRANSBORDO SANTAL; ANO 2015. - FR17318. - LOC. SERRA")</f>
      </c>
      <c r="C215" s="4" t="inlineStr">
        <is>
          <t>Não vendido</t>
        </is>
      </c>
      <c r="D215" s="4" t="inlineStr">
        <is>
          <t>2</t>
        </is>
      </c>
      <c r="E215" s="5" t="inlineStr">
        <is>
          <t>11.000,00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=HYPERLINK("https://leilaoonline.com.br/lote/detalhe/191221", "31263")</f>
      </c>
      <c r="B216" s="4" t="s">
        <f>=HYPERLINK("https://leilaoonline.com.br/lote/detalhe/191221", " TRANSBORDO SANTAL; ANO 2015. - FR17324. - LOC. SERRA")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11.000,00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=HYPERLINK("https://leilaoonline.com.br/lote/detalhe/190493", "31266")</f>
      </c>
      <c r="B217" s="4" t="s">
        <f>=HYPERLINK("https://leilaoonline.com.br/lote/detalhe/190493", " COLHEDORA CASE, ANO 2010 - FR139512. - LOC. BONFIM")</f>
      </c>
      <c r="C217" s="4" t="inlineStr">
        <is>
          <t>Vendido</t>
        </is>
      </c>
      <c r="D217" s="4" t="inlineStr">
        <is>
          <t>6</t>
        </is>
      </c>
      <c r="E217" s="5" t="inlineStr">
        <is>
          <t>30.000,00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=HYPERLINK("https://leilaoonline.com.br/lote/detalhe/190508", "31267")</f>
      </c>
      <c r="B218" s="4" t="s">
        <f>=HYPERLINK("https://leilaoonline.com.br/lote/detalhe/190508", " COLHEDORA CASE., ANO 2010 - FR139506. - LOC. BONFIM")</f>
      </c>
      <c r="C218" s="4" t="inlineStr">
        <is>
          <t>Não vendido</t>
        </is>
      </c>
      <c r="D218" s="4" t="inlineStr">
        <is>
          <t>7</t>
        </is>
      </c>
      <c r="E218" s="5" t="inlineStr">
        <is>
          <t>31.000,00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=HYPERLINK("https://leilaoonline.com.br/lote/detalhe/190610", "31270")</f>
      </c>
      <c r="B219" s="4" t="s">
        <f>=HYPERLINK("https://leilaoonline.com.br/lote/detalhe/190610", " APROX. 40 MOTORES ELETRICOS. - S/FR. - LOC. BONFIM")</f>
      </c>
      <c r="C219" s="4" t="inlineStr">
        <is>
          <t>Vendido</t>
        </is>
      </c>
      <c r="D219" s="4" t="inlineStr">
        <is>
          <t>43</t>
        </is>
      </c>
      <c r="E219" s="5" t="inlineStr">
        <is>
          <t>38.000,00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=HYPERLINK("https://leilaoonline.com.br/lote/detalhe/190521", "31271")</f>
      </c>
      <c r="B220" s="4" t="s">
        <f>=HYPERLINK("https://leilaoonline.com.br/lote/detalhe/190521", " 2 EQUIPAMENTOS AGROMATÃO. - FR122347/122348. - LOC. BONFIM")</f>
      </c>
      <c r="C220" s="4" t="inlineStr">
        <is>
          <t>Vendido</t>
        </is>
      </c>
      <c r="D220" s="4" t="inlineStr">
        <is>
          <t>66</t>
        </is>
      </c>
      <c r="E220" s="5" t="inlineStr">
        <is>
          <t>17.000,00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=HYPERLINK("https://leilaoonline.com.br/lote/detalhe/190540", "31273")</f>
      </c>
      <c r="B221" s="4" t="s">
        <f>=HYPERLINK("https://leilaoonline.com.br/lote/detalhe/190540", " TRATOR MASSEY FERGUNSON 292., ANO 2006 - (VENDA SEM IMPLEMENTO). - FR115009. - LOC. BONFIM")</f>
      </c>
      <c r="C221" s="4" t="inlineStr">
        <is>
          <t>Vendido</t>
        </is>
      </c>
      <c r="D221" s="4" t="inlineStr">
        <is>
          <t>60</t>
        </is>
      </c>
      <c r="E221" s="5" t="inlineStr">
        <is>
          <t>123.000,00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=HYPERLINK("https://leilaoonline.com.br/lote/detalhe/190539", "31274")</f>
      </c>
      <c r="B222" s="4" t="s">
        <f>=HYPERLINK("https://leilaoonline.com.br/lote/detalhe/190539", " TRATOR MASSEY FERGUNSON 290., ANO 1993 - (VENDA SEM IMPLEMENTO). - FR115418. - LOC. BONFIM")</f>
      </c>
      <c r="C222" s="4" t="inlineStr">
        <is>
          <t>Vendido</t>
        </is>
      </c>
      <c r="D222" s="4" t="inlineStr">
        <is>
          <t>50</t>
        </is>
      </c>
      <c r="E222" s="5" t="inlineStr">
        <is>
          <t>76.000,00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=HYPERLINK("https://leilaoonline.com.br/lote/detalhe/190500", "31275")</f>
      </c>
      <c r="B223" s="4" t="s">
        <f>=HYPERLINK("https://leilaoonline.com.br/lote/detalhe/190500", " CARRETA TANQUE FERRO; FR122569. - LOC. BONFIM")</f>
      </c>
      <c r="C223" s="4" t="inlineStr">
        <is>
          <t>Não vendido</t>
        </is>
      </c>
      <c r="D223" s="4" t="inlineStr">
        <is>
          <t>4</t>
        </is>
      </c>
      <c r="E223" s="5" t="inlineStr">
        <is>
          <t>6.500,00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=HYPERLINK("https://leilaoonline.com.br/lote/detalhe/190646", "31276")</f>
      </c>
      <c r="B224" s="4" t="s">
        <f>=HYPERLINK("https://leilaoonline.com.br/lote/detalhe/190646", " ROÇADEIRA. - FR122399. - LOC. BONFIM")</f>
      </c>
      <c r="C224" s="4" t="inlineStr">
        <is>
          <t>Não vendido</t>
        </is>
      </c>
      <c r="D224" s="4" t="inlineStr">
        <is>
          <t>14</t>
        </is>
      </c>
      <c r="E224" s="5" t="inlineStr">
        <is>
          <t>2.600,00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=HYPERLINK("https://leilaoonline.com.br/lote/detalhe/190648", "31277")</f>
      </c>
      <c r="B225" s="4" t="s">
        <f>=HYPERLINK("https://leilaoonline.com.br/lote/detalhe/190648", " ROÇADEIRA. - FR122384. - LOC. BONFIM")</f>
      </c>
      <c r="C225" s="4" t="inlineStr">
        <is>
          <t>Não vendido</t>
        </is>
      </c>
      <c r="D225" s="4" t="inlineStr">
        <is>
          <t>13</t>
        </is>
      </c>
      <c r="E225" s="5" t="inlineStr">
        <is>
          <t>2.350,00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=HYPERLINK("https://leilaoonline.com.br/lote/detalhe/191142", "31278")</f>
      </c>
      <c r="B226" s="4" t="s">
        <f>=HYPERLINK("https://leilaoonline.com.br/lote/detalhe/191142", "TRANSBORDO SANTA IZABEL TRIDEM 13T, ANO 2010, FR4441915, LOC. CAARAPÓ")</f>
      </c>
      <c r="C226" s="4" t="inlineStr">
        <is>
          <t>Não vendido</t>
        </is>
      </c>
      <c r="D226" s="4" t="inlineStr">
        <is>
          <t>2</t>
        </is>
      </c>
      <c r="E226" s="5" t="inlineStr">
        <is>
          <t>11.000,00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=HYPERLINK("https://leilaoonline.com.br/lote/detalhe/191212", "31279")</f>
      </c>
      <c r="B227" s="4" t="s">
        <f>=HYPERLINK("https://leilaoonline.com.br/lote/detalhe/191212", " TRANSBORDO CIVEMASA TAC 12000; ANO 2000. - FR4445045. - LOC. CAARAPÓ")</f>
      </c>
      <c r="C227" s="4" t="inlineStr">
        <is>
          <t>Não vendido</t>
        </is>
      </c>
      <c r="D227" s="4" t="inlineStr">
        <is>
          <t>2</t>
        </is>
      </c>
      <c r="E227" s="5" t="inlineStr">
        <is>
          <t>11.000,00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=HYPERLINK("https://leilaoonline.com.br/lote/detalhe/191148", "31281")</f>
      </c>
      <c r="B228" s="4" t="s">
        <f>=HYPERLINK("https://leilaoonline.com.br/lote/detalhe/191148", " RALA DE REBOQUE, LOC. CAARAPÓ")</f>
      </c>
      <c r="C228" s="4" t="inlineStr">
        <is>
          <t>Vendido</t>
        </is>
      </c>
      <c r="D228" s="4" t="inlineStr">
        <is>
          <t>32</t>
        </is>
      </c>
      <c r="E228" s="5" t="inlineStr">
        <is>
          <t>5.550,00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=HYPERLINK("https://leilaoonline.com.br/lote/detalhe/191112", "31284")</f>
      </c>
      <c r="B229" s="4" t="s">
        <f>=HYPERLINK("https://leilaoonline.com.br/lote/detalhe/191112", " GUINCHO SOLLUS, FR4447037, LOC. CAARAPÓ")</f>
      </c>
      <c r="C229" s="4" t="inlineStr">
        <is>
          <t>Vendido</t>
        </is>
      </c>
      <c r="D229" s="4" t="inlineStr">
        <is>
          <t>38</t>
        </is>
      </c>
      <c r="E229" s="5" t="inlineStr">
        <is>
          <t>11.500,00</t>
        </is>
      </c>
      <c r="F229" s="4" t="inlineStr">
        <is>
          <t>500.00</t>
        </is>
      </c>
    </row>
    <row collapsed="false" customFormat="false" customHeight="false" hidden="false" ht="12.1" outlineLevel="0" r="230">
      <c r="A230" s="5" t="s">
        <f>=HYPERLINK("https://leilaoonline.com.br/lote/detalhe/191208", "31285")</f>
      </c>
      <c r="B230" s="4" t="s">
        <f>=HYPERLINK("https://leilaoonline.com.br/lote/detalhe/191208", " 2 TRANSBORDOS CIVEMASA TAC 10500; ANO 2010. - FR4445075/4445140. - LOC. CAARAPÓ")</f>
      </c>
      <c r="C230" s="4" t="inlineStr">
        <is>
          <t>Não vendido</t>
        </is>
      </c>
      <c r="D230" s="4" t="inlineStr">
        <is>
          <t>17</t>
        </is>
      </c>
      <c r="E230" s="5" t="inlineStr">
        <is>
          <t>26.000,00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=HYPERLINK("https://leilaoonline.com.br/lote/detalhe/191225", "31287")</f>
      </c>
      <c r="B231" s="4" t="s">
        <f>=HYPERLINK("https://leilaoonline.com.br/lote/detalhe/191225", " 2 TRANSBORDOS CIVEMASA TAC 10500, ANO 2010. - FR4445139/4446145. - LOC. CAARAPÓ")</f>
      </c>
      <c r="C231" s="4" t="inlineStr">
        <is>
          <t>Não vendido</t>
        </is>
      </c>
      <c r="D231" s="4" t="inlineStr">
        <is>
          <t>28</t>
        </is>
      </c>
      <c r="E231" s="5" t="inlineStr">
        <is>
          <t>34.750,00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=HYPERLINK("https://leilaoonline.com.br/lote/detalhe/191217", "31289")</f>
      </c>
      <c r="B232" s="4" t="s">
        <f>=HYPERLINK("https://leilaoonline.com.br/lote/detalhe/191217", " TRANSBORDO CIVEMASA TAC 10000; ANO 2012. - FR4445178. - LOC. CAARAPÓ")</f>
      </c>
      <c r="C232" s="4" t="inlineStr">
        <is>
          <t>Não vendido</t>
        </is>
      </c>
      <c r="D232" s="4" t="inlineStr">
        <is>
          <t>12</t>
        </is>
      </c>
      <c r="E232" s="5" t="inlineStr">
        <is>
          <t>20.500,00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=HYPERLINK("https://leilaoonline.com.br/lote/detalhe/191132", "31293")</f>
      </c>
      <c r="B233" s="4" t="s">
        <f>=HYPERLINK("https://leilaoonline.com.br/lote/detalhe/191132", " DOLLY USICAMP, (VENDA SEM DOC.), FR4455183, LOC. CAARAPÓ")</f>
      </c>
      <c r="C233" s="4" t="inlineStr">
        <is>
          <t>Vendido</t>
        </is>
      </c>
      <c r="D233" s="4" t="inlineStr">
        <is>
          <t>14</t>
        </is>
      </c>
      <c r="E233" s="5" t="inlineStr">
        <is>
          <t>20.000,00</t>
        </is>
      </c>
      <c r="F233" s="4" t="inlineStr">
        <is>
          <t>500.00</t>
        </is>
      </c>
    </row>
    <row collapsed="false" customFormat="false" customHeight="false" hidden="false" ht="12.1" outlineLevel="0" r="234">
      <c r="A234" s="5" t="s">
        <f>=HYPERLINK("https://leilaoonline.com.br/lote/detalhe/191139", "31295")</f>
      </c>
      <c r="B234" s="4" t="s">
        <f>=HYPERLINK("https://leilaoonline.com.br/lote/detalhe/191139", " DOLLY USICAMP, (VENDA SEM DOC.), FR4451524, LOC. CAARAPÓ")</f>
      </c>
      <c r="C234" s="4" t="inlineStr">
        <is>
          <t>Vendido</t>
        </is>
      </c>
      <c r="D234" s="4" t="inlineStr">
        <is>
          <t>13</t>
        </is>
      </c>
      <c r="E234" s="5" t="inlineStr">
        <is>
          <t>10.500,00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=HYPERLINK("https://leilaoonline.com.br/lote/detalhe/191123", "31296")</f>
      </c>
      <c r="B235" s="4" t="s">
        <f>=HYPERLINK("https://leilaoonline.com.br/lote/detalhe/191123", " 2 PNEUS P/ TRATOR C/ RODAS, LOC. CAARAPÓ")</f>
      </c>
      <c r="C235" s="4" t="inlineStr">
        <is>
          <t>Vendido</t>
        </is>
      </c>
      <c r="D235" s="4" t="inlineStr">
        <is>
          <t>43</t>
        </is>
      </c>
      <c r="E235" s="5" t="inlineStr">
        <is>
          <t>14.000,00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=HYPERLINK("https://leilaoonline.com.br/lote/detalhe/191130", "31297")</f>
      </c>
      <c r="B236" s="4" t="s">
        <f>=HYPERLINK("https://leilaoonline.com.br/lote/detalhe/191130", " 2 CULTIVADORES, FR45285/FR45262, LOC. CAARAPÓ")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1.000,00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=HYPERLINK("https://leilaoonline.com.br/lote/detalhe/191128", "31298")</f>
      </c>
      <c r="B237" s="4" t="s">
        <f>=HYPERLINK("https://leilaoonline.com.br/lote/detalhe/191128", "SEMI REBOQUE USICAMP SRCP E2 10000, ANO 2008/2008, AZUL, FR4455111, LOC. CAARAPÓ")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20.000,00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=HYPERLINK("https://leilaoonline.com.br/lote/detalhe/191150", "31299")</f>
      </c>
      <c r="B238" s="4" t="s">
        <f>=HYPERLINK("https://leilaoonline.com.br/lote/detalhe/191150", "REBOQUE USICAMP RCI E2E2 1180, ANO 2008/2008, AZUL, FR4455123, LOC. CAARAPÓ")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20.000,00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=HYPERLINK("https://leilaoonline.com.br/lote/detalhe/191118", "31301")</f>
      </c>
      <c r="B239" s="4" t="s">
        <f>=HYPERLINK("https://leilaoonline.com.br/lote/detalhe/191118", "SEMI REBOQUE USICAMP SRCP E2 10000, ANO 2005/2005, AMARELA, FR4451090, LOC. CAARAPÓ")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20.000,00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=HYPERLINK("https://leilaoonline.com.br/lote/detalhe/191143", "31303")</f>
      </c>
      <c r="B240" s="4" t="s">
        <f>=HYPERLINK("https://leilaoonline.com.br/lote/detalhe/191143", "SEMI REBOQUE RANDON SR CA, ANO 2007/2007, AZUL, FR96212, LOC. CAARAPÓ")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=HYPERLINK("https://leilaoonline.com.br/lote/detalhe/191133", "31305")</f>
      </c>
      <c r="B241" s="4" t="s">
        <f>=HYPERLINK("https://leilaoonline.com.br/lote/detalhe/191133", " 2 TRATORES JOHN DEERE 6205J (SUCATEADOS), ANO 2016, FR4435105/FR4435108, LOC. CAARAPÓ")</f>
      </c>
      <c r="C241" s="4" t="inlineStr">
        <is>
          <t>Vendido</t>
        </is>
      </c>
      <c r="D241" s="4" t="inlineStr">
        <is>
          <t>56</t>
        </is>
      </c>
      <c r="E241" s="5" t="inlineStr">
        <is>
          <t>95.000,00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=HYPERLINK("https://leilaoonline.com.br/lote/detalhe/191149", "31307")</f>
      </c>
      <c r="B242" s="4" t="s">
        <f>=HYPERLINK("https://leilaoonline.com.br/lote/detalhe/191149", "SEMI REBOQUE USICAMP SRCP E2 10000, ANO 2009/2009, AZUL, FR4455132, LOC. CAARAPÓ")</f>
      </c>
      <c r="C242" s="4" t="inlineStr">
        <is>
          <t>Não vendido</t>
        </is>
      </c>
      <c r="D242" s="4" t="inlineStr">
        <is>
          <t>1</t>
        </is>
      </c>
      <c r="E242" s="5" t="inlineStr">
        <is>
          <t>25.000,00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=HYPERLINK("https://leilaoonline.com.br/lote/detalhe/191116", "31309")</f>
      </c>
      <c r="B243" s="4" t="s">
        <f>=HYPERLINK("https://leilaoonline.com.br/lote/detalhe/191116", " TALHA ELÉTRICA C/ TROLE MOTORIZADO, FR124156, LOC. CAARAPÓ")</f>
      </c>
      <c r="C243" s="4" t="inlineStr">
        <is>
          <t>Não vendido</t>
        </is>
      </c>
      <c r="D243" s="4" t="inlineStr">
        <is>
          <t>73</t>
        </is>
      </c>
      <c r="E243" s="5" t="inlineStr">
        <is>
          <t>19.000,00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=HYPERLINK("https://leilaoonline.com.br/lote/detalhe/191155", "31310")</f>
      </c>
      <c r="B244" s="4" t="s">
        <f>=HYPERLINK("https://leilaoonline.com.br/lote/detalhe/191155", " CARRETA TANQUE DE FERRO, ANO 2009, S/ FR, LOC. CAARAPÓ")</f>
      </c>
      <c r="C244" s="4" t="inlineStr">
        <is>
          <t>Não vendido</t>
        </is>
      </c>
      <c r="D244" s="4" t="inlineStr">
        <is>
          <t>22</t>
        </is>
      </c>
      <c r="E244" s="5" t="inlineStr">
        <is>
          <t>8.250,00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=HYPERLINK("https://leilaoonline.com.br/lote/detalhe/191125", "31312")</f>
      </c>
      <c r="B245" s="4" t="s">
        <f>=HYPERLINK("https://leilaoonline.com.br/lote/detalhe/191125", "DISTRIBUIDORA DE ADUBO 3 HASTE DMB, ANO 2014 - FR9003126, LOC. RIO BRILHANTE")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5.000,00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=HYPERLINK("https://leilaoonline.com.br/lote/detalhe/191140", "31313")</f>
      </c>
      <c r="B246" s="4" t="s">
        <f>=HYPERLINK("https://leilaoonline.com.br/lote/detalhe/191140", "PLANTADORA DE CANA AUTOMÁTICA DMB, ANO 2013 - FR294454, LOC. RIO BRILHANTE")</f>
      </c>
      <c r="C246" s="4" t="inlineStr">
        <is>
          <t>Não vendido</t>
        </is>
      </c>
      <c r="D246" s="4" t="inlineStr">
        <is>
          <t>3</t>
        </is>
      </c>
      <c r="E246" s="5" t="inlineStr">
        <is>
          <t>5.500,00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=HYPERLINK("https://leilaoonline.com.br/lote/detalhe/191114", "31314")</f>
      </c>
      <c r="B247" s="4" t="s">
        <f>=HYPERLINK("https://leilaoonline.com.br/lote/detalhe/191114", " 2 HIDROHOLL 125/450 G4 TURBO MAQ, FR9003011/FR5005756, LOC. RIO BRILHANTE")</f>
      </c>
      <c r="C247" s="4" t="inlineStr">
        <is>
          <t>Não vendido</t>
        </is>
      </c>
      <c r="D247" s="4" t="inlineStr">
        <is>
          <t>1</t>
        </is>
      </c>
      <c r="E247" s="5" t="inlineStr">
        <is>
          <t>2.000,00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=HYPERLINK("https://leilaoonline.com.br/lote/detalhe/191119", "31315")</f>
      </c>
      <c r="B248" s="4" t="s">
        <f>=HYPERLINK("https://leilaoonline.com.br/lote/detalhe/191119", " ROÇADEIRA, LOC. RIO BRILHANTE")</f>
      </c>
      <c r="C248" s="4" t="inlineStr">
        <is>
          <t>Vendido</t>
        </is>
      </c>
      <c r="D248" s="4" t="inlineStr">
        <is>
          <t>3</t>
        </is>
      </c>
      <c r="E248" s="5" t="inlineStr">
        <is>
          <t>1.500,00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=HYPERLINK("https://leilaoonline.com.br/lote/detalhe/191127", "31316")</f>
      </c>
      <c r="B249" s="4" t="s">
        <f>=HYPERLINK("https://leilaoonline.com.br/lote/detalhe/191127", " 2 DOLLY, (VENDA SEM DOC.), FR5004695/FR5004905, LOC. RIO BRILHANTE")</f>
      </c>
      <c r="C249" s="4" t="inlineStr">
        <is>
          <t>Não vendido</t>
        </is>
      </c>
      <c r="D249" s="4" t="inlineStr">
        <is>
          <t>1</t>
        </is>
      </c>
      <c r="E249" s="5" t="inlineStr">
        <is>
          <t>3.000,00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=HYPERLINK("https://leilaoonline.com.br/lote/detalhe/191145", "31317")</f>
      </c>
      <c r="B250" s="4" t="s">
        <f>=HYPERLINK("https://leilaoonline.com.br/lote/detalhe/191145", "  APROX. 60 UND. RODAS/CAMPANAS, LOC. RIO BRILHANTE")</f>
      </c>
      <c r="C250" s="4" t="inlineStr">
        <is>
          <t>Vendido</t>
        </is>
      </c>
      <c r="D250" s="4" t="inlineStr">
        <is>
          <t>24</t>
        </is>
      </c>
      <c r="E250" s="5" t="inlineStr">
        <is>
          <t>6.750,00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=HYPERLINK("https://leilaoonline.com.br/lote/detalhe/191147", "31318")</f>
      </c>
      <c r="B251" s="4" t="s">
        <f>=HYPERLINK("https://leilaoonline.com.br/lote/detalhe/191147", " 1 CÂMBIO SCANIA, LOC. RIO BRILHANTE")</f>
      </c>
      <c r="C251" s="4" t="inlineStr">
        <is>
          <t>Vendido</t>
        </is>
      </c>
      <c r="D251" s="4" t="inlineStr">
        <is>
          <t>8</t>
        </is>
      </c>
      <c r="E251" s="5" t="inlineStr">
        <is>
          <t>3.000,00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=HYPERLINK("https://leilaoonline.com.br/lote/detalhe/191122", "31319")</f>
      </c>
      <c r="B252" s="4" t="s">
        <f>=HYPERLINK("https://leilaoonline.com.br/lote/detalhe/191122", " ÁREA DE VIVÊNCIA, (VENDA SEM DOCUMENTO) - LOC. RIO BRILHANTE")</f>
      </c>
      <c r="C252" s="4" t="inlineStr">
        <is>
          <t>Vendido</t>
        </is>
      </c>
      <c r="D252" s="4" t="inlineStr">
        <is>
          <t>19</t>
        </is>
      </c>
      <c r="E252" s="5" t="inlineStr">
        <is>
          <t>6.000,00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=HYPERLINK("https://leilaoonline.com.br/lote/detalhe/191135", "31321")</f>
      </c>
      <c r="B253" s="4" t="s">
        <f>=HYPERLINK("https://leilaoonline.com.br/lote/detalhe/191135", " REBOQUE ANTONINI, ANO 1994/1994, AZUL, FR14004350, LOC. RIO BRILHANTE")</f>
      </c>
      <c r="C253" s="4" t="inlineStr">
        <is>
          <t>Vendido</t>
        </is>
      </c>
      <c r="D253" s="4" t="inlineStr">
        <is>
          <t>5</t>
        </is>
      </c>
      <c r="E253" s="5" t="inlineStr">
        <is>
          <t>14.000,00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=HYPERLINK("https://leilaoonline.com.br/lote/detalhe/191141", "31324")</f>
      </c>
      <c r="B254" s="4" t="s">
        <f>=HYPERLINK("https://leilaoonline.com.br/lote/detalhe/191141", " TRANSBORDO SANTA ISABEL TASI1400, LOC. RIO BRILHANTE")</f>
      </c>
      <c r="C254" s="4" t="inlineStr">
        <is>
          <t>Vendido</t>
        </is>
      </c>
      <c r="D254" s="4" t="inlineStr">
        <is>
          <t>31</t>
        </is>
      </c>
      <c r="E254" s="5" t="inlineStr">
        <is>
          <t>28.000,00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=HYPERLINK("https://leilaoonline.com.br/lote/detalhe/191214", "31329")</f>
      </c>
      <c r="B255" s="4" t="s">
        <f>=HYPERLINK("https://leilaoonline.com.br/lote/detalhe/191214", " TRANSBORDO SANTAL VT 10T; ANO 2011. - FR9003055. - LOC. RIO BRILHANTE")</f>
      </c>
      <c r="C255" s="4" t="inlineStr">
        <is>
          <t>Vendido</t>
        </is>
      </c>
      <c r="D255" s="4" t="inlineStr">
        <is>
          <t>2</t>
        </is>
      </c>
      <c r="E255" s="5" t="inlineStr">
        <is>
          <t>12.000,00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=HYPERLINK("https://leilaoonline.com.br/lote/detalhe/191146", "31331")</f>
      </c>
      <c r="B256" s="4" t="s">
        <f>=HYPERLINK("https://leilaoonline.com.br/lote/detalhe/191146", "TRANSBORDO SANTAL VT 10T, ANO 2011, FR1003051, LOC. RIO BRILHANTE")</f>
      </c>
      <c r="C256" s="4" t="inlineStr">
        <is>
          <t>Vendido</t>
        </is>
      </c>
      <c r="D256" s="4" t="inlineStr">
        <is>
          <t>2</t>
        </is>
      </c>
      <c r="E256" s="5" t="inlineStr">
        <is>
          <t>10.250,00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=HYPERLINK("https://leilaoonline.com.br/lote/detalhe/191138", "31332")</f>
      </c>
      <c r="B257" s="4" t="s">
        <f>=HYPERLINK("https://leilaoonline.com.br/lote/detalhe/191138", "2 IMPRESSORAS HP DESIGNJET T1100, FR28651/FR295494, LOC. RIO BRILHANTE")</f>
      </c>
      <c r="C257" s="4" t="inlineStr">
        <is>
          <t>Vendido</t>
        </is>
      </c>
      <c r="D257" s="4" t="inlineStr">
        <is>
          <t>2</t>
        </is>
      </c>
      <c r="E257" s="5" t="inlineStr">
        <is>
          <t>3.000,00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=HYPERLINK("https://leilaoonline.com.br/lote/detalhe/191152", "31333")</f>
      </c>
      <c r="B258" s="4" t="s">
        <f>=HYPERLINK("https://leilaoonline.com.br/lote/detalhe/191152", " APROX. 75 MOTORES ELÉTRICOS, LOC. PASSATEMPO")</f>
      </c>
      <c r="C258" s="4" t="inlineStr">
        <is>
          <t>Vendido</t>
        </is>
      </c>
      <c r="D258" s="4" t="inlineStr">
        <is>
          <t>26</t>
        </is>
      </c>
      <c r="E258" s="5" t="inlineStr">
        <is>
          <t>13.250,00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=HYPERLINK("https://leilaoonline.com.br/lote/detalhe/191158", "31334")</f>
      </c>
      <c r="B259" s="4" t="s">
        <f>=HYPERLINK("https://leilaoonline.com.br/lote/detalhe/191158", " 5 TRANSFORMADORES, LOC. PASSATEMPO")</f>
      </c>
      <c r="C259" s="4" t="inlineStr">
        <is>
          <t>Não vendido</t>
        </is>
      </c>
      <c r="D259" s="4" t="inlineStr">
        <is>
          <t>59</t>
        </is>
      </c>
      <c r="E259" s="5" t="inlineStr">
        <is>
          <t>33.250,00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=HYPERLINK("https://leilaoonline.com.br/lote/detalhe/191157", "31337")</f>
      </c>
      <c r="B260" s="4" t="s">
        <f>=HYPERLINK("https://leilaoonline.com.br/lote/detalhe/191157", " ÁREA DE VIVÊNCIA, PT293378, LOC. PASSATEMPO")</f>
      </c>
      <c r="C260" s="4" t="inlineStr">
        <is>
          <t>Vendido</t>
        </is>
      </c>
      <c r="D260" s="4" t="inlineStr">
        <is>
          <t>10</t>
        </is>
      </c>
      <c r="E260" s="5" t="inlineStr">
        <is>
          <t>3.250,00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=HYPERLINK("https://leilaoonline.com.br/lote/detalhe/191144", "31343")</f>
      </c>
      <c r="B261" s="4" t="s">
        <f>=HYPERLINK("https://leilaoonline.com.br/lote/detalhe/191144", " 5 VÁLVULAS VPV’s GRANDES E 3 VÁLVULAS PEQUENAS, LOC. PASSATEMPO")</f>
      </c>
      <c r="C261" s="4" t="inlineStr">
        <is>
          <t>Vendido</t>
        </is>
      </c>
      <c r="D261" s="4" t="inlineStr">
        <is>
          <t>27</t>
        </is>
      </c>
      <c r="E261" s="5" t="inlineStr">
        <is>
          <t>8.500,00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=HYPERLINK("https://leilaoonline.com.br/lote/detalhe/191154", "31345")</f>
      </c>
      <c r="B262" s="4" t="s">
        <f>=HYPERLINK("https://leilaoonline.com.br/lote/detalhe/191154", " SEMI REBOQUE RANDON SR CA, ANO 2007/2007, AZUL, FR5004674, LOC. PASSATEMPO")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25.000,00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=HYPERLINK("https://leilaoonline.com.br/lote/detalhe/191162", "31347")</f>
      </c>
      <c r="B263" s="4" t="s">
        <f>=HYPERLINK("https://leilaoonline.com.br/lote/detalhe/191162", " SEMI REBOQUE RANDON SR CA, ANO 2007/2007, AZUL, FR5004908, LOC. PASSATEMPO")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=HYPERLINK("https://leilaoonline.com.br/lote/detalhe/191156", "31349")</f>
      </c>
      <c r="B264" s="4" t="s">
        <f>=HYPERLINK("https://leilaoonline.com.br/lote/detalhe/191156", " SEMI REBOQUE RANDON SR CA, ANO 2007/2007, AZUL, FR5004675, LOC. PASSATEMPO")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25.000,00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=HYPERLINK("https://leilaoonline.com.br/lote/detalhe/191129", "31352")</f>
      </c>
      <c r="B265" s="4" t="s">
        <f>=HYPERLINK("https://leilaoonline.com.br/lote/detalhe/191129", " 2 TRANSBORDOS TAC 13000, ANO 2008, FR5004822/FR5004797, LOC. PASSATEMPO")</f>
      </c>
      <c r="C265" s="4" t="inlineStr">
        <is>
          <t>Não vendido</t>
        </is>
      </c>
      <c r="D265" s="4" t="inlineStr">
        <is>
          <t>27</t>
        </is>
      </c>
      <c r="E265" s="5" t="inlineStr">
        <is>
          <t>36.000,00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=HYPERLINK("https://leilaoonline.com.br/lote/detalhe/191213", "31353")</f>
      </c>
      <c r="B266" s="4" t="s">
        <f>=HYPERLINK("https://leilaoonline.com.br/lote/detalhe/191213", " TRANSBORDO TAC 13000; ANO 2008. - FR5004743. - LOC. PASSATEMPO")</f>
      </c>
      <c r="C266" s="4" t="inlineStr">
        <is>
          <t>Não vendido</t>
        </is>
      </c>
      <c r="D266" s="4" t="inlineStr">
        <is>
          <t>14</t>
        </is>
      </c>
      <c r="E266" s="5" t="inlineStr">
        <is>
          <t>21.500,00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=HYPERLINK("https://leilaoonline.com.br/lote/detalhe/191216", "31355")</f>
      </c>
      <c r="B267" s="4" t="s">
        <f>=HYPERLINK("https://leilaoonline.com.br/lote/detalhe/191216", " TRANSBORDO CIVEMASA TAC 13000; ANO 2008. - FR9004108. - LOC. PASSATEMPO")</f>
      </c>
      <c r="C267" s="4" t="inlineStr">
        <is>
          <t>Não vendido</t>
        </is>
      </c>
      <c r="D267" s="4" t="inlineStr">
        <is>
          <t>20</t>
        </is>
      </c>
      <c r="E267" s="5" t="inlineStr">
        <is>
          <t>27.500,00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=HYPERLINK("https://leilaoonline.com.br/lote/detalhe/191159", "31357")</f>
      </c>
      <c r="B268" s="4" t="s">
        <f>=HYPERLINK("https://leilaoonline.com.br/lote/detalhe/191159", " 3 ESTEIRAS DE APROX. 15 MTS., ETB-PT-0024/0021, LOC. PASSATEMPO")</f>
      </c>
      <c r="C268" s="4" t="inlineStr">
        <is>
          <t>Vendido</t>
        </is>
      </c>
      <c r="D268" s="4" t="inlineStr">
        <is>
          <t>6</t>
        </is>
      </c>
      <c r="E268" s="5" t="inlineStr">
        <is>
          <t>3.500,00</t>
        </is>
      </c>
      <c r="F268" s="4" t="inlineStr">
        <is>
          <t>250.00</t>
        </is>
      </c>
    </row>
    <row collapsed="false" customFormat="false" customHeight="false" hidden="false" ht="12.1" outlineLevel="0" r="269">
      <c r="A269" s="5" t="s">
        <f>=HYPERLINK("https://leilaoonline.com.br/lote/detalhe/191153", "31358")</f>
      </c>
      <c r="B269" s="4" t="s">
        <f>=HYPERLINK("https://leilaoonline.com.br/lote/detalhe/191153", " 2 ESTEIRAS SENDO: (1 DE APROX. 15 Mts e 1 DE APROX. 7 Mts), ETB-PT-0026, LOC. PASSATEMPO")</f>
      </c>
      <c r="C269" s="4" t="inlineStr">
        <is>
          <t>Vendido</t>
        </is>
      </c>
      <c r="D269" s="4" t="inlineStr">
        <is>
          <t>5</t>
        </is>
      </c>
      <c r="E269" s="5" t="inlineStr">
        <is>
          <t>3.000,00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=HYPERLINK("https://leilaoonline.com.br/lote/detalhe/191160", "31385")</f>
      </c>
      <c r="B270" s="4" t="s">
        <f>=HYPERLINK("https://leilaoonline.com.br/lote/detalhe/191160", " 2 EIXOS E 1 TANQUE INOX, LOC. PASSATEMPO")</f>
      </c>
      <c r="C270" s="4" t="inlineStr">
        <is>
          <t>Não vendido</t>
        </is>
      </c>
      <c r="D270" s="4" t="inlineStr">
        <is>
          <t>1</t>
        </is>
      </c>
      <c r="E270" s="5" t="inlineStr">
        <is>
          <t>200,00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=HYPERLINK("https://leilaoonline.com.br/lote/detalhe/190528", "31454")</f>
      </c>
      <c r="B271" s="4" t="s">
        <f>=HYPERLINK("https://leilaoonline.com.br/lote/detalhe/190528", " ÔNIBUS IMP/ MERCEDES BENZ OF 1620; ANO 1995/1995; VERDE. - FR139214. - BOM RETIRO ")</f>
      </c>
      <c r="C271" s="4" t="inlineStr">
        <is>
          <t>Vendido</t>
        </is>
      </c>
      <c r="D271" s="4" t="inlineStr">
        <is>
          <t>23</t>
        </is>
      </c>
      <c r="E271" s="5" t="inlineStr">
        <is>
          <t>23.000,00</t>
        </is>
      </c>
      <c r="F271" s="4" t="inlineStr">
        <is>
          <t>500.00</t>
        </is>
      </c>
    </row>
    <row collapsed="false" customFormat="false" customHeight="false" hidden="false" ht="12.1" outlineLevel="0" r="272">
      <c r="A272" s="5" t="s">
        <f>=HYPERLINK("https://leilaoonline.com.br/lote/detalhe/190656", "31456")</f>
      </c>
      <c r="B272" s="4" t="s">
        <f>=HYPERLINK("https://leilaoonline.com.br/lote/detalhe/190656", " SISTEMA ABAST. BAZUKA MIX 12.0 STD SOLLUS. - FR140600. - LOC. BOM RETIRO ")</f>
      </c>
      <c r="C272" s="4" t="inlineStr">
        <is>
          <t>Não vendido</t>
        </is>
      </c>
      <c r="D272" s="4" t="inlineStr">
        <is>
          <t>4</t>
        </is>
      </c>
      <c r="E272" s="5" t="inlineStr">
        <is>
          <t>1.300,00</t>
        </is>
      </c>
      <c r="F272" s="4" t="inlineStr">
        <is>
          <t>100.00</t>
        </is>
      </c>
    </row>
    <row collapsed="false" customFormat="false" customHeight="false" hidden="false" ht="12.1" outlineLevel="0" r="273">
      <c r="A273" s="5" t="s">
        <f>=HYPERLINK("https://leilaoonline.com.br/lote/detalhe/190604", "31457")</f>
      </c>
      <c r="B273" s="4" t="s">
        <f>=HYPERLINK("https://leilaoonline.com.br/lote/detalhe/190604", " PREPARADOR DE SOLO PSPC ANTONIOSI. - FR140003. - LOC. BOM RETIRO")</f>
      </c>
      <c r="C273" s="4" t="inlineStr">
        <is>
          <t>Não vendido</t>
        </is>
      </c>
      <c r="D273" s="4" t="inlineStr">
        <is>
          <t>3</t>
        </is>
      </c>
      <c r="E273" s="5" t="inlineStr">
        <is>
          <t>3.000,00</t>
        </is>
      </c>
      <c r="F273" s="4" t="inlineStr">
        <is>
          <t>250.00</t>
        </is>
      </c>
    </row>
    <row collapsed="false" customFormat="false" customHeight="false" hidden="false" ht="12.1" outlineLevel="0" r="274">
      <c r="A274" s="5" t="s">
        <f>=HYPERLINK("https://leilaoonline.com.br/lote/detalhe/190617", "31458")</f>
      </c>
      <c r="B274" s="4" t="s">
        <f>=HYPERLINK("https://leilaoonline.com.br/lote/detalhe/190617", " PREPARADOR DE SOLO PSPC ANTONIOSI. - FR67176. - LOC. BOM RETIRO")</f>
      </c>
      <c r="C274" s="4" t="inlineStr">
        <is>
          <t>Vendido</t>
        </is>
      </c>
      <c r="D274" s="4" t="inlineStr">
        <is>
          <t>2</t>
        </is>
      </c>
      <c r="E274" s="5" t="inlineStr">
        <is>
          <t>1.100,00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=HYPERLINK("https://leilaoonline.com.br/lote/detalhe/190492", "31459")</f>
      </c>
      <c r="B275" s="4" t="s">
        <f>=HYPERLINK("https://leilaoonline.com.br/lote/detalhe/190492", " COLHEDORA JOHN DEERE 3522 2L. - ANO 2010 - FR32225. - LOC. BOM RETIRO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25.000,00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=HYPERLINK("https://leilaoonline.com.br/lote/detalhe/191151", "31460")</f>
      </c>
      <c r="B276" s="4" t="s">
        <f>=HYPERLINK("https://leilaoonline.com.br/lote/detalhe/191151", " TRANSBORDO SANTAL 12 T, ANO 2013, FR38371, LOC. BOM RETIRO")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10.000,00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=HYPERLINK("https://leilaoonline.com.br/lote/detalhe/190631", "31461")</f>
      </c>
      <c r="B277" s="4" t="s">
        <f>=HYPERLINK("https://leilaoonline.com.br/lote/detalhe/190631", " REBOQUE PRANCHA MASSARI, ANO 1969/1969, AZUL (CAMINHÃO NÃO FAZ PARTE DO LOTE). - FR59902. - LOC. BOM RETIRO")</f>
      </c>
      <c r="C277" s="4" t="inlineStr">
        <is>
          <t>Vendido</t>
        </is>
      </c>
      <c r="D277" s="4" t="inlineStr">
        <is>
          <t>60</t>
        </is>
      </c>
      <c r="E277" s="5" t="inlineStr">
        <is>
          <t>77.000,00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=HYPERLINK("https://leilaoonline.com.br/lote/detalhe/190653", "31462")</f>
      </c>
      <c r="B278" s="4" t="s">
        <f>=HYPERLINK("https://leilaoonline.com.br/lote/detalhe/190653", " SEMI-REBOQUE RANDON; ANO 1977/1977; AZUL. - FR59901. - LOC. BOM RETIRO")</f>
      </c>
      <c r="C278" s="4" t="inlineStr">
        <is>
          <t>Vendido</t>
        </is>
      </c>
      <c r="D278" s="4" t="inlineStr">
        <is>
          <t>77</t>
        </is>
      </c>
      <c r="E278" s="5" t="inlineStr">
        <is>
          <t>101.000,00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=HYPERLINK("https://leilaoonline.com.br/lote/detalhe/190637", "31463")</f>
      </c>
      <c r="B279" s="4" t="s">
        <f>=HYPERLINK("https://leilaoonline.com.br/lote/detalhe/190637", " REBOQUE PRANCHA FNV FRUEHAUF; ANO 1987/1987; AZUL (CAMINHÃO NÃO FAZ PARTE DO LOTE). - FR22891. - LOC. BOM RETIRO ")</f>
      </c>
      <c r="C279" s="4" t="inlineStr">
        <is>
          <t>Vendido</t>
        </is>
      </c>
      <c r="D279" s="4" t="inlineStr">
        <is>
          <t>65</t>
        </is>
      </c>
      <c r="E279" s="5" t="inlineStr">
        <is>
          <t>79.000,00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=HYPERLINK("https://leilaoonline.com.br/lote/detalhe/192752", "31466")</f>
      </c>
      <c r="B280" s="4" t="s">
        <f>=HYPERLINK("https://leilaoonline.com.br/lote/detalhe/192752", "I/RENAULT CLIO PRI1616VS, ANO 2008/2009, PRATA - FR230707 - LOC. TARUMÃ ")</f>
      </c>
      <c r="C280" s="4" t="inlineStr">
        <is>
          <t>Vendido</t>
        </is>
      </c>
      <c r="D280" s="4" t="inlineStr">
        <is>
          <t>10</t>
        </is>
      </c>
      <c r="E280" s="5" t="inlineStr">
        <is>
          <t>9.500,00</t>
        </is>
      </c>
      <c r="F280" s="4" t="inlineStr">
        <is>
          <t>500.00</t>
        </is>
      </c>
    </row>
    <row collapsed="false" customFormat="false" customHeight="false" hidden="false" ht="12.1" outlineLevel="0" r="281">
      <c r="A281" s="5" t="s">
        <f>=HYPERLINK("https://leilaoonline.com.br/lote/detalhe/190602", "31467")</f>
      </c>
      <c r="B281" s="4" t="s">
        <f>=HYPERLINK("https://leilaoonline.com.br/lote/detalhe/190602", " APROX. 7 PALLETS DE CORRENTE DE ESTEIRA. - S/FR. - LOC. TARUMÃ")</f>
      </c>
      <c r="C281" s="4" t="inlineStr">
        <is>
          <t>Vendido</t>
        </is>
      </c>
      <c r="D281" s="4" t="inlineStr">
        <is>
          <t>26</t>
        </is>
      </c>
      <c r="E281" s="5" t="inlineStr">
        <is>
          <t>9.250,00</t>
        </is>
      </c>
      <c r="F281" s="4" t="inlineStr">
        <is>
          <t>500.00</t>
        </is>
      </c>
    </row>
    <row collapsed="false" customFormat="false" customHeight="false" hidden="false" ht="12.1" outlineLevel="0" r="282">
      <c r="A282" s="5" t="s">
        <f>=HYPERLINK("https://leilaoonline.com.br/lote/detalhe/190669", "31468")</f>
      </c>
      <c r="B282" s="4" t="s">
        <f>=HYPERLINK("https://leilaoonline.com.br/lote/detalhe/190669", " 4 TANQUES DE PRESSÃO. - S/FR. - LOC. TARUMÃ ")</f>
      </c>
      <c r="C282" s="4" t="inlineStr">
        <is>
          <t>Vendido</t>
        </is>
      </c>
      <c r="D282" s="4" t="inlineStr">
        <is>
          <t>126</t>
        </is>
      </c>
      <c r="E282" s="5" t="inlineStr">
        <is>
          <t>30.700,00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=HYPERLINK("https://leilaoonline.com.br/lote/detalhe/190627", "31469")</f>
      </c>
      <c r="B283" s="4" t="s">
        <f>=HYPERLINK("https://leilaoonline.com.br/lote/detalhe/190627", " MULTIJATO. - S/FR. - LOC. TARUMÃ ")</f>
      </c>
      <c r="C283" s="4" t="inlineStr">
        <is>
          <t>Vendido</t>
        </is>
      </c>
      <c r="D283" s="4" t="inlineStr">
        <is>
          <t>19</t>
        </is>
      </c>
      <c r="E283" s="5" t="inlineStr">
        <is>
          <t>2.800,00</t>
        </is>
      </c>
      <c r="F283" s="4" t="inlineStr">
        <is>
          <t>100.00</t>
        </is>
      </c>
    </row>
    <row collapsed="false" customFormat="false" customHeight="false" hidden="false" ht="12.1" outlineLevel="0" r="284">
      <c r="A284" s="5" t="s">
        <f>=HYPERLINK("https://leilaoonline.com.br/lote/detalhe/190538", "31470")</f>
      </c>
      <c r="B284" s="4" t="s">
        <f>=HYPERLINK("https://leilaoonline.com.br/lote/detalhe/190538", " VALVULA ANGULAR. - S/ FR. - LOC. TARUMÃ")</f>
      </c>
      <c r="C284" s="4" t="inlineStr">
        <is>
          <t>Vendido</t>
        </is>
      </c>
      <c r="D284" s="4" t="inlineStr">
        <is>
          <t>1</t>
        </is>
      </c>
      <c r="E284" s="5" t="inlineStr">
        <is>
          <t>1.000,00</t>
        </is>
      </c>
      <c r="F284" s="4" t="inlineStr">
        <is>
          <t>100.00</t>
        </is>
      </c>
    </row>
    <row collapsed="false" customFormat="false" customHeight="false" hidden="false" ht="12.1" outlineLevel="0" r="285">
      <c r="A285" s="5" t="s">
        <f>=HYPERLINK("https://leilaoonline.com.br/lote/detalhe/190606", "31471")</f>
      </c>
      <c r="B285" s="4" t="s">
        <f>=HYPERLINK("https://leilaoonline.com.br/lote/detalhe/190606", " APROX 13 HOLOFOTES NAVILLE. - S/ FR. (SERÃO VENDIDOS COMO SUCATA ELÉTRICA) - LOC TARUMÃ")</f>
      </c>
      <c r="C285" s="4" t="inlineStr">
        <is>
          <t>Vendido</t>
        </is>
      </c>
      <c r="D285" s="4" t="inlineStr">
        <is>
          <t>2</t>
        </is>
      </c>
      <c r="E285" s="5" t="inlineStr">
        <is>
          <t>300,00</t>
        </is>
      </c>
      <c r="F285" s="4" t="inlineStr">
        <is>
          <t>100.00</t>
        </is>
      </c>
    </row>
    <row collapsed="false" customFormat="false" customHeight="false" hidden="false" ht="12.1" outlineLevel="0" r="286">
      <c r="A286" s="5" t="s">
        <f>=HYPERLINK("https://leilaoonline.com.br/lote/detalhe/190615", "31472")</f>
      </c>
      <c r="B286" s="4" t="s">
        <f>=HYPERLINK("https://leilaoonline.com.br/lote/detalhe/190615", " 2 PEÇAS DE MÁRMORE, MEDINDO APROX. 2,30M X 1,0M; MAIS RETALHOS. - S/ FR. - LOC. TARUMÃ")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200,00</t>
        </is>
      </c>
      <c r="F286" s="4" t="inlineStr">
        <is>
          <t>100.00</t>
        </is>
      </c>
    </row>
    <row collapsed="false" customFormat="false" customHeight="false" hidden="false" ht="12.1" outlineLevel="0" r="287">
      <c r="A287" s="5" t="s">
        <f>=HYPERLINK("https://leilaoonline.com.br/lote/detalhe/190676", "31473")</f>
      </c>
      <c r="B287" s="4" t="s">
        <f>=HYPERLINK("https://leilaoonline.com.br/lote/detalhe/190676", " TRANSPORTADOR HELICOIDAL. - FR164958. - LOC. MARACAÍ")</f>
      </c>
      <c r="C287" s="4" t="inlineStr">
        <is>
          <t>Vendido</t>
        </is>
      </c>
      <c r="D287" s="4" t="inlineStr">
        <is>
          <t>3</t>
        </is>
      </c>
      <c r="E287" s="5" t="inlineStr">
        <is>
          <t>700,00</t>
        </is>
      </c>
      <c r="F287" s="4" t="inlineStr">
        <is>
          <t>100.00</t>
        </is>
      </c>
    </row>
    <row collapsed="false" customFormat="false" customHeight="false" hidden="false" ht="12.1" outlineLevel="0" r="288">
      <c r="A288" s="5" t="s">
        <f>=HYPERLINK("https://leilaoonline.com.br/lote/detalhe/190511", "31474")</f>
      </c>
      <c r="B288" s="4" t="s">
        <f>=HYPERLINK("https://leilaoonline.com.br/lote/detalhe/190511", " CALDEIRÃO A GAS. - FR188014. - LOC. MARACAÍ ")</f>
      </c>
      <c r="C288" s="4" t="inlineStr">
        <is>
          <t>Não vendido</t>
        </is>
      </c>
      <c r="D288" s="4" t="inlineStr">
        <is>
          <t>1</t>
        </is>
      </c>
      <c r="E288" s="5" t="inlineStr">
        <is>
          <t>100,00</t>
        </is>
      </c>
      <c r="F288" s="4" t="inlineStr">
        <is>
          <t>25.00</t>
        </is>
      </c>
    </row>
    <row collapsed="false" customFormat="false" customHeight="false" hidden="false" ht="12.1" outlineLevel="0" r="289">
      <c r="A289" s="5" t="s">
        <f>=HYPERLINK("https://leilaoonline.com.br/lote/detalhe/190598", "31475")</f>
      </c>
      <c r="B289" s="4" t="s">
        <f>=HYPERLINK("https://leilaoonline.com.br/lote/detalhe/190598", " APROX. 35 PLACAS DE TROCADOR DE CALOR. - S/ FR. (SERÃO VENDIDAS COMO SUCATA DE INOX) - LOC. MARACAÍ")</f>
      </c>
      <c r="C289" s="4" t="inlineStr">
        <is>
          <t>Vendido</t>
        </is>
      </c>
      <c r="D289" s="4" t="inlineStr">
        <is>
          <t>18</t>
        </is>
      </c>
      <c r="E289" s="5" t="inlineStr">
        <is>
          <t>525,00</t>
        </is>
      </c>
      <c r="F289" s="4" t="inlineStr">
        <is>
          <t>25.00</t>
        </is>
      </c>
    </row>
    <row collapsed="false" customFormat="false" customHeight="false" hidden="false" ht="12.1" outlineLevel="0" r="290">
      <c r="A290" s="5" t="s">
        <f>=HYPERLINK("https://leilaoonline.com.br/lote/detalhe/190603", "31476")</f>
      </c>
      <c r="B290" s="4" t="s">
        <f>=HYPERLINK("https://leilaoonline.com.br/lote/detalhe/190603", " APROX. 20 UN. DE VIDROS TIPO BLINDEX; DIVERSOS TAMANHOS. (SERÃO VENDIDOS COMO SUCATA DE VIDRO) - S/ FR. - LOC. PARAGUAÇU")</f>
      </c>
      <c r="C290" s="4" t="inlineStr">
        <is>
          <t>Vendido</t>
        </is>
      </c>
      <c r="D290" s="4" t="inlineStr">
        <is>
          <t>1</t>
        </is>
      </c>
      <c r="E290" s="5" t="inlineStr">
        <is>
          <t>100,00</t>
        </is>
      </c>
      <c r="F290" s="4" t="inlineStr">
        <is>
          <t>25.00</t>
        </is>
      </c>
    </row>
    <row collapsed="false" customFormat="false" customHeight="false" hidden="false" ht="12.1" outlineLevel="0" r="291">
      <c r="A291" s="5" t="s">
        <f>=HYPERLINK("https://leilaoonline.com.br/lote/detalhe/190608", "31477")</f>
      </c>
      <c r="B291" s="4" t="s">
        <f>=HYPERLINK("https://leilaoonline.com.br/lote/detalhe/190608", " APROX. 12 ESCADAS DE ALUMÍNIO DE DIVERSOS TAMANHOS. - S/FR. (SERÃO VENDIDOS COMO SUCATA DE ALUMÍNIO) - LOC. PARAGUAÇU ")</f>
      </c>
      <c r="C291" s="4" t="inlineStr">
        <is>
          <t>Não vendido</t>
        </is>
      </c>
      <c r="D291" s="4" t="inlineStr">
        <is>
          <t>20</t>
        </is>
      </c>
      <c r="E291" s="5" t="inlineStr">
        <is>
          <t>575,00</t>
        </is>
      </c>
      <c r="F291" s="4" t="inlineStr">
        <is>
          <t>25.00</t>
        </is>
      </c>
    </row>
    <row collapsed="false" customFormat="false" customHeight="false" hidden="false" ht="12.1" outlineLevel="0" r="292">
      <c r="A292" s="5" t="s">
        <f>=HYPERLINK("https://leilaoonline.com.br/lote/detalhe/190687", "31478")</f>
      </c>
      <c r="B292" s="4" t="s">
        <f>=HYPERLINK("https://leilaoonline.com.br/lote/detalhe/190687", "TANQUE DE FIBRA (APROXIMADAMENTE 5,5M X 2,5M). - S/FR. - LOC. PARAGUAÇU")</f>
      </c>
      <c r="C292" s="4" t="inlineStr">
        <is>
          <t>Não vendido</t>
        </is>
      </c>
      <c r="D292" s="4" t="inlineStr">
        <is>
          <t>21</t>
        </is>
      </c>
      <c r="E292" s="5" t="inlineStr">
        <is>
          <t>2.600,00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=HYPERLINK("https://leilaoonline.com.br/lote/detalhe/190596", "31479")</f>
      </c>
      <c r="B293" s="4" t="s">
        <f>=HYPERLINK("https://leilaoonline.com.br/lote/detalhe/190596", " 1 ESTEIRA TALISCA DA MOAGEM FR234264; 1 REDUTOR FR178181; 1 MOTOR MOT. ELETR. WEG 20CV 6P FR156358. - LOC. PARAGUAÇU ")</f>
      </c>
      <c r="C293" s="4" t="inlineStr">
        <is>
          <t>Não vendido</t>
        </is>
      </c>
      <c r="D293" s="4" t="inlineStr">
        <is>
          <t>49</t>
        </is>
      </c>
      <c r="E293" s="5" t="inlineStr">
        <is>
          <t>27.000,00</t>
        </is>
      </c>
      <c r="F293" s="4" t="inlineStr">
        <is>
          <t>1000.00</t>
        </is>
      </c>
    </row>
    <row collapsed="false" customFormat="false" customHeight="false" hidden="false" ht="12.1" outlineLevel="0" r="294">
      <c r="A294" s="5" t="s">
        <f>=HYPERLINK("https://leilaoonline.com.br/lote/detalhe/190601", "31480")</f>
      </c>
      <c r="B294" s="4" t="s">
        <f>=HYPERLINK("https://leilaoonline.com.br/lote/detalhe/190601", " 1 ESTEIRA TALISCA DA MOAGEM; 1 REDUTOR REDUÇÃO 25,00 MOD. J2322SP404M01 E 1 MOTOR ELETR. WEG 20CV 6P. - S/FR. - LOC. PARAGUAÇU")</f>
      </c>
      <c r="C294" s="4" t="inlineStr">
        <is>
          <t>Vendido</t>
        </is>
      </c>
      <c r="D294" s="4" t="inlineStr">
        <is>
          <t>62</t>
        </is>
      </c>
      <c r="E294" s="5" t="inlineStr">
        <is>
          <t>27.500,00</t>
        </is>
      </c>
      <c r="F294" s="4" t="inlineStr">
        <is>
          <t>1000.00</t>
        </is>
      </c>
    </row>
    <row collapsed="false" customFormat="false" customHeight="false" hidden="false" ht="12.1" outlineLevel="0" r="295">
      <c r="A295" s="5" t="s">
        <f>=HYPERLINK("https://leilaoonline.com.br/lote/detalhe/190684", "31481")</f>
      </c>
      <c r="B295" s="4" t="s">
        <f>=HYPERLINK("https://leilaoonline.com.br/lote/detalhe/190684", " TANQUE DE FIBRA DE VIDRO (APROXIMADAMENTE 4M X 2M); (COM FUNDO DANIFICADO). - S/FR. -  LOC. IPAUSSU ")</f>
      </c>
      <c r="C295" s="4" t="inlineStr">
        <is>
          <t>Vendido</t>
        </is>
      </c>
      <c r="D295" s="4" t="inlineStr">
        <is>
          <t>5</t>
        </is>
      </c>
      <c r="E295" s="5" t="inlineStr">
        <is>
          <t>600,00</t>
        </is>
      </c>
      <c r="F295" s="4" t="inlineStr">
        <is>
          <t>100.00</t>
        </is>
      </c>
    </row>
    <row collapsed="false" customFormat="false" customHeight="false" hidden="false" ht="12.1" outlineLevel="0" r="296">
      <c r="A296" s="5" t="s">
        <f>=HYPERLINK("https://leilaoonline.com.br/lote/detalhe/190519", "31482")</f>
      </c>
      <c r="B296" s="4" t="s">
        <f>=HYPERLINK("https://leilaoonline.com.br/lote/detalhe/190519", " APROX. 77 PLACAS DE TROCADOR DE CALOR. - LOC. IPAUSSU ")</f>
      </c>
      <c r="C296" s="4" t="inlineStr">
        <is>
          <t>Vendido</t>
        </is>
      </c>
      <c r="D296" s="4" t="inlineStr">
        <is>
          <t>32</t>
        </is>
      </c>
      <c r="E296" s="5" t="inlineStr">
        <is>
          <t>4.250,00</t>
        </is>
      </c>
      <c r="F296" s="4" t="inlineStr">
        <is>
          <t>250.00</t>
        </is>
      </c>
    </row>
    <row collapsed="false" customFormat="false" customHeight="false" hidden="false" ht="12.1" outlineLevel="0" r="297">
      <c r="A297" s="5" t="s">
        <f>=HYPERLINK("https://leilaoonline.com.br/lote/detalhe/190622", "31484")</f>
      </c>
      <c r="B297" s="4" t="s">
        <f>=HYPERLINK("https://leilaoonline.com.br/lote/detalhe/190622", " PIA DE AÇO INOX, 1 PORTA DE ALUMÍNIO COM VIDRO, 1 JANELA TIPO BLINDEX, 1 LIXEIRA P/ RECICLAVEIS, 1 PIA DE MARMORE, 1 BEBEDOURO SUCATEADO, LOC. IPAUSSU")</f>
      </c>
      <c r="C297" s="4" t="inlineStr">
        <is>
          <t>Vendido</t>
        </is>
      </c>
      <c r="D297" s="4" t="inlineStr">
        <is>
          <t>1</t>
        </is>
      </c>
      <c r="E297" s="5" t="inlineStr">
        <is>
          <t>100,00</t>
        </is>
      </c>
      <c r="F297" s="4" t="inlineStr">
        <is>
          <t>25.00</t>
        </is>
      </c>
    </row>
    <row collapsed="false" customFormat="false" customHeight="false" hidden="false" ht="12.1" outlineLevel="0" r="298">
      <c r="A298" s="5" t="s">
        <f>=HYPERLINK("https://leilaoonline.com.br/lote/detalhe/190668", "31486")</f>
      </c>
      <c r="B298" s="4" t="s">
        <f>=HYPERLINK("https://leilaoonline.com.br/lote/detalhe/190668", " SISTEMA ADIABATICO. - S/FR. - LOC. IPAUSSU 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200,00</t>
        </is>
      </c>
      <c r="F298" s="4" t="inlineStr">
        <is>
          <t>100.00</t>
        </is>
      </c>
    </row>
    <row collapsed="false" customFormat="false" customHeight="false" hidden="false" ht="12.1" outlineLevel="0" r="299">
      <c r="A299" s="5" t="s">
        <f>=HYPERLINK("https://leilaoonline.com.br/lote/detalhe/190672", "31488")</f>
      </c>
      <c r="B299" s="4" t="s">
        <f>=HYPERLINK("https://leilaoonline.com.br/lote/detalhe/190672", " SEMI-REBOQUE RANDONSP SRCA CA; ANO 2012/2013; CINZA (VENDA SEM RODAS). - FR46961. - LOC. IPAUSSU ")</f>
      </c>
      <c r="C299" s="4" t="inlineStr">
        <is>
          <t>Vendido</t>
        </is>
      </c>
      <c r="D299" s="4" t="inlineStr">
        <is>
          <t>24</t>
        </is>
      </c>
      <c r="E299" s="5" t="inlineStr">
        <is>
          <t>48.000,00</t>
        </is>
      </c>
      <c r="F299" s="4" t="inlineStr">
        <is>
          <t>1000.00</t>
        </is>
      </c>
    </row>
    <row collapsed="false" customFormat="false" customHeight="false" hidden="false" ht="12.1" outlineLevel="0" r="300">
      <c r="A300" s="5" t="s">
        <f>=HYPERLINK("https://leilaoonline.com.br/lote/detalhe/190644", "31489")</f>
      </c>
      <c r="B300" s="4" t="s">
        <f>=HYPERLINK("https://leilaoonline.com.br/lote/detalhe/190644", " REBOQUE RANDONSP RQ CA; ANO 2010/2010; AZUL (VENDA SEM RODAS E SEM PNEUS). - FR46870. - LOC. IPAUSSU")</f>
      </c>
      <c r="C300" s="4" t="inlineStr">
        <is>
          <t>Vendido</t>
        </is>
      </c>
      <c r="D300" s="4" t="inlineStr">
        <is>
          <t>11</t>
        </is>
      </c>
      <c r="E300" s="5" t="inlineStr">
        <is>
          <t>35.000,00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=HYPERLINK("https://leilaoonline.com.br/lote/detalhe/190640", "31492")</f>
      </c>
      <c r="B301" s="4" t="s">
        <f>=HYPERLINK("https://leilaoonline.com.br/lote/detalhe/190640", " REBOQUE TECTRAN SRCM F2; ANO 1994/1994; AZUL (VENDA SEM RODAS E SEM PNEUS). - FR96075. - LOC. IPAUSSU ")</f>
      </c>
      <c r="C301" s="4" t="inlineStr">
        <is>
          <t>Vendido</t>
        </is>
      </c>
      <c r="D301" s="4" t="inlineStr">
        <is>
          <t>9</t>
        </is>
      </c>
      <c r="E301" s="5" t="inlineStr">
        <is>
          <t>23.000,00</t>
        </is>
      </c>
      <c r="F301" s="4" t="inlineStr">
        <is>
          <t>1000.00</t>
        </is>
      </c>
    </row>
    <row collapsed="false" customFormat="false" customHeight="false" hidden="false" ht="12.1" outlineLevel="0" r="302">
      <c r="A302" s="5" t="s">
        <f>=HYPERLINK("https://leilaoonline.com.br/lote/detalhe/191389", "31563")</f>
      </c>
      <c r="B302" s="4" t="s">
        <f>=HYPERLINK("https://leilaoonline.com.br/lote/detalhe/191389", " PLANTADORA CANA DMB; ANO 2012 (VENDA SEM PNEUS). - FR5003047. - LOC. MB")</f>
      </c>
      <c r="C302" s="4" t="inlineStr">
        <is>
          <t>Não vendido</t>
        </is>
      </c>
      <c r="D302" s="4" t="inlineStr">
        <is>
          <t>6</t>
        </is>
      </c>
      <c r="E302" s="5" t="inlineStr">
        <is>
          <t>15.000,00</t>
        </is>
      </c>
      <c r="F302" s="4" t="inlineStr">
        <is>
          <t>1000.00</t>
        </is>
      </c>
    </row>
    <row collapsed="false" customFormat="false" customHeight="false" hidden="false" ht="12.1" outlineLevel="0" r="303">
      <c r="A303" s="5" t="s">
        <f>=HYPERLINK("https://leilaoonline.com.br/lote/detalhe/191387", "31564")</f>
      </c>
      <c r="B303" s="4" t="s">
        <f>=HYPERLINK("https://leilaoonline.com.br/lote/detalhe/191387", " PÁ CARREGADEIRA VOLVO L110 TRACBEL C/PNEUS., ANO 2011 - FR13002058. - LOC. MB")</f>
      </c>
      <c r="C303" s="4" t="inlineStr">
        <is>
          <t>Não vendido</t>
        </is>
      </c>
      <c r="D303" s="4" t="inlineStr">
        <is>
          <t>120</t>
        </is>
      </c>
      <c r="E303" s="5" t="inlineStr">
        <is>
          <t>144.000,00</t>
        </is>
      </c>
      <c r="F303" s="4" t="inlineStr">
        <is>
          <t>1000.00</t>
        </is>
      </c>
    </row>
    <row collapsed="false" customFormat="false" customHeight="false" hidden="false" ht="12.1" outlineLevel="0" r="304">
      <c r="A304" s="5" t="s">
        <f>=HYPERLINK("https://leilaoonline.com.br/lote/detalhe/191391", "31567")</f>
      </c>
      <c r="B304" s="4" t="s">
        <f>=HYPERLINK("https://leilaoonline.com.br/lote/detalhe/191391", " PLANTADORA DE CANA AUTOMATICA DMB; ANO 2012 (VENDA SEM PNEUS). - FR9003106. - LOC. MB")</f>
      </c>
      <c r="C304" s="4" t="inlineStr">
        <is>
          <t>Não vendido</t>
        </is>
      </c>
      <c r="D304" s="4" t="inlineStr">
        <is>
          <t>13</t>
        </is>
      </c>
      <c r="E304" s="5" t="inlineStr">
        <is>
          <t>22.000,00</t>
        </is>
      </c>
      <c r="F304" s="4" t="inlineStr">
        <is>
          <t>1000.00</t>
        </is>
      </c>
    </row>
    <row collapsed="false" customFormat="false" customHeight="false" hidden="false" ht="12.1" outlineLevel="0" r="305">
      <c r="A305" s="5" t="s">
        <f>=HYPERLINK("https://leilaoonline.com.br/lote/detalhe/191378", "31568")</f>
      </c>
      <c r="B305" s="4" t="s">
        <f>=HYPERLINK("https://leilaoonline.com.br/lote/detalhe/191378", "FORD F4000; ANO 1993/1994; VERMELHO (COM CARROCERIA MADEIRA). - FR13001012. - LOC. MB")</f>
      </c>
      <c r="C305" s="4" t="inlineStr">
        <is>
          <t>Vendido</t>
        </is>
      </c>
      <c r="D305" s="4" t="inlineStr">
        <is>
          <t>22</t>
        </is>
      </c>
      <c r="E305" s="5" t="inlineStr">
        <is>
          <t>33.000,00</t>
        </is>
      </c>
      <c r="F305" s="4" t="inlineStr">
        <is>
          <t>1000.00</t>
        </is>
      </c>
    </row>
    <row collapsed="false" customFormat="false" customHeight="false" hidden="false" ht="12.1" outlineLevel="0" r="306">
      <c r="A306" s="5" t="s">
        <f>=HYPERLINK("https://leilaoonline.com.br/lote/detalhe/191393", "31579")</f>
      </c>
      <c r="B306" s="4" t="s">
        <f>=HYPERLINK("https://leilaoonline.com.br/lote/detalhe/191393", " MOTONIVELADORA CATERPILLAR 12H; ANO 2006. - FR11002128. - LOC. VALE DO ROSARIO")</f>
      </c>
      <c r="C306" s="4" t="inlineStr">
        <is>
          <t>Vendido</t>
        </is>
      </c>
      <c r="D306" s="4" t="inlineStr">
        <is>
          <t>86</t>
        </is>
      </c>
      <c r="E306" s="5" t="inlineStr">
        <is>
          <t>100.000,00</t>
        </is>
      </c>
      <c r="F306" s="4" t="inlineStr">
        <is>
          <t>1000.00</t>
        </is>
      </c>
    </row>
    <row collapsed="false" customFormat="false" customHeight="false" hidden="false" ht="12.1" outlineLevel="0" r="307">
      <c r="A307" s="5" t="s">
        <f>=HYPERLINK("https://leilaoonline.com.br/lote/detalhe/191379", "31586")</f>
      </c>
      <c r="B307" s="4" t="s">
        <f>=HYPERLINK("https://leilaoonline.com.br/lote/detalhe/191379", " CAMINHÃO VOLVO FM12 420 6X4T; ANO 2006/2006; BRANCO. - FR11001093. - LOC. VALE DO ROSARIO")</f>
      </c>
      <c r="C307" s="4" t="inlineStr">
        <is>
          <t>Vendido</t>
        </is>
      </c>
      <c r="D307" s="4" t="inlineStr">
        <is>
          <t>15</t>
        </is>
      </c>
      <c r="E307" s="5" t="inlineStr">
        <is>
          <t>44.000,00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=HYPERLINK("https://leilaoonline.com.br/lote/detalhe/191395", "31588")</f>
      </c>
      <c r="B308" s="4" t="s">
        <f>=HYPERLINK("https://leilaoonline.com.br/lote/detalhe/191395", " MOTONIVELADORA CATERPILAR 140K; ANO 2012, FR93391 - (FALTANDO DIVERSAS PEÇAS). - LOC. JUNQUEIRA")</f>
      </c>
      <c r="C308" s="4" t="inlineStr">
        <is>
          <t>Vendido</t>
        </is>
      </c>
      <c r="D308" s="4" t="inlineStr">
        <is>
          <t>144</t>
        </is>
      </c>
      <c r="E308" s="5" t="inlineStr">
        <is>
          <t>278.000,00</t>
        </is>
      </c>
      <c r="F308" s="4" t="inlineStr">
        <is>
          <t>1000.00</t>
        </is>
      </c>
    </row>
    <row collapsed="false" customFormat="false" customHeight="false" hidden="false" ht="12.1" outlineLevel="0" r="309">
      <c r="A309" s="5" t="s">
        <f>=HYPERLINK("https://leilaoonline.com.br/lote/detalhe/191394", "31589")</f>
      </c>
      <c r="B309" s="4" t="s">
        <f>=HYPERLINK("https://leilaoonline.com.br/lote/detalhe/191394", " ÔNIBUS; MOTOR CASA OF1318; ANO 1992/1992; BEGE. - FR92003. - LOC. JUNQUEIRA")</f>
      </c>
      <c r="C309" s="4" t="inlineStr">
        <is>
          <t>Vendido</t>
        </is>
      </c>
      <c r="D309" s="4" t="inlineStr">
        <is>
          <t>17</t>
        </is>
      </c>
      <c r="E309" s="5" t="inlineStr">
        <is>
          <t>26.000,00</t>
        </is>
      </c>
      <c r="F309" s="4" t="inlineStr">
        <is>
          <t>1000.00</t>
        </is>
      </c>
    </row>
    <row collapsed="false" customFormat="false" customHeight="false" hidden="false" ht="12.1" outlineLevel="0" r="310">
      <c r="A310" s="5" t="s">
        <f>=HYPERLINK("https://leilaoonline.com.br/lote/detalhe/191383", "31591")</f>
      </c>
      <c r="B310" s="4" t="s">
        <f>=HYPERLINK("https://leilaoonline.com.br/lote/detalhe/191383", " ÔNIBUS MERCEDES BENZ OF 1620; ANO 1994/1994; BRANCA. - FR92004. - LOC. JUNQUEIRA")</f>
      </c>
      <c r="C310" s="4" t="inlineStr">
        <is>
          <t>Vendido</t>
        </is>
      </c>
      <c r="D310" s="4" t="inlineStr">
        <is>
          <t>15</t>
        </is>
      </c>
      <c r="E310" s="5" t="inlineStr">
        <is>
          <t>23.500,00</t>
        </is>
      </c>
      <c r="F310" s="4" t="inlineStr">
        <is>
          <t>500.00</t>
        </is>
      </c>
    </row>
    <row collapsed="false" customFormat="false" customHeight="false" hidden="false" ht="12.1" outlineLevel="0" r="311">
      <c r="A311" s="5" t="s">
        <f>=HYPERLINK("https://leilaoonline.com.br/lote/detalhe/191385", "31594")</f>
      </c>
      <c r="B311" s="4" t="s">
        <f>=HYPERLINK("https://leilaoonline.com.br/lote/detalhe/191385", " TRATOR JOHN DEERE 7500 4X4; ANO 2001. - FR115527. - LOC. JUNQUEIRA")</f>
      </c>
      <c r="C311" s="4" t="inlineStr">
        <is>
          <t>Vendido</t>
        </is>
      </c>
      <c r="D311" s="4" t="inlineStr">
        <is>
          <t>47</t>
        </is>
      </c>
      <c r="E311" s="5" t="inlineStr">
        <is>
          <t>76.000,00</t>
        </is>
      </c>
      <c r="F311" s="4" t="inlineStr">
        <is>
          <t>1000.00</t>
        </is>
      </c>
    </row>
    <row collapsed="false" customFormat="false" customHeight="false" hidden="false" ht="12.1" outlineLevel="0" r="312">
      <c r="A312" s="5" t="s">
        <f>=HYPERLINK("https://leilaoonline.com.br/lote/detalhe/191386", "31595")</f>
      </c>
      <c r="B312" s="4" t="s">
        <f>=HYPERLINK("https://leilaoonline.com.br/lote/detalhe/191386", " TRATOR CASE MAGNUM 260 4X4; ANO 2015. - FR61037. - LOC. JUNQUEIRA")</f>
      </c>
      <c r="C312" s="4" t="inlineStr">
        <is>
          <t>Vendido</t>
        </is>
      </c>
      <c r="D312" s="4" t="inlineStr">
        <is>
          <t>17</t>
        </is>
      </c>
      <c r="E312" s="5" t="inlineStr">
        <is>
          <t>46.000,00</t>
        </is>
      </c>
      <c r="F312" s="4" t="inlineStr">
        <is>
          <t>1000.00</t>
        </is>
      </c>
    </row>
    <row collapsed="false" customFormat="false" customHeight="false" hidden="false" ht="12.1" outlineLevel="0" r="313">
      <c r="A313" s="5" t="s">
        <f>=HYPERLINK("https://leilaoonline.com.br/lote/detalhe/191384", "31596")</f>
      </c>
      <c r="B313" s="4" t="s">
        <f>=HYPERLINK("https://leilaoonline.com.br/lote/detalhe/191384", " TRATOR JOHN DEERE 7500 4X4; ANO 2001. - FR115534. - LOC. JUNQUEIRA")</f>
      </c>
      <c r="C313" s="4" t="inlineStr">
        <is>
          <t>Vendido</t>
        </is>
      </c>
      <c r="D313" s="4" t="inlineStr">
        <is>
          <t>59</t>
        </is>
      </c>
      <c r="E313" s="5" t="inlineStr">
        <is>
          <t>88.000,00</t>
        </is>
      </c>
      <c r="F313" s="4" t="inlineStr">
        <is>
          <t>1000.00</t>
        </is>
      </c>
    </row>
    <row collapsed="false" customFormat="false" customHeight="false" hidden="false" ht="12.1" outlineLevel="0" r="314">
      <c r="A314" s="5" t="s">
        <f>=HYPERLINK("https://leilaoonline.com.br/lote/detalhe/191381", "31597")</f>
      </c>
      <c r="B314" s="4" t="s">
        <f>=HYPERLINK("https://leilaoonline.com.br/lote/detalhe/191381", " TRATOR MASSEY FERGUSSON 275 4X4; ANO 1990. - FR93007. - LOC. JUNQUEIRA")</f>
      </c>
      <c r="C314" s="4" t="inlineStr">
        <is>
          <t>Não vendido</t>
        </is>
      </c>
      <c r="D314" s="4" t="inlineStr">
        <is>
          <t>31</t>
        </is>
      </c>
      <c r="E314" s="5" t="inlineStr">
        <is>
          <t>55.000,00</t>
        </is>
      </c>
      <c r="F314" s="4" t="inlineStr">
        <is>
          <t>1000.00</t>
        </is>
      </c>
    </row>
    <row collapsed="false" customFormat="false" customHeight="false" hidden="false" ht="12.1" outlineLevel="0" r="315">
      <c r="A315" s="5" t="s">
        <f>=HYPERLINK("https://leilaoonline.com.br/lote/detalhe/191390", "31598")</f>
      </c>
      <c r="B315" s="4" t="s">
        <f>=HYPERLINK("https://leilaoonline.com.br/lote/detalhe/191390", " TRATOR MASSEY FERGUSSON 4291 4X4; ANO 2010. - FR93036. - LOC. JUNQUEIRA")</f>
      </c>
      <c r="C315" s="4" t="inlineStr">
        <is>
          <t>Vendido</t>
        </is>
      </c>
      <c r="D315" s="4" t="inlineStr">
        <is>
          <t>51</t>
        </is>
      </c>
      <c r="E315" s="5" t="inlineStr">
        <is>
          <t>85.000,00</t>
        </is>
      </c>
      <c r="F315" s="4" t="inlineStr">
        <is>
          <t>1000.00</t>
        </is>
      </c>
    </row>
    <row collapsed="false" customFormat="false" customHeight="false" hidden="false" ht="12.1" outlineLevel="0" r="316">
      <c r="A316" s="5" t="s">
        <f>=HYPERLINK("https://leilaoonline.com.br/lote/detalhe/191392", "31600")</f>
      </c>
      <c r="B316" s="4" t="s">
        <f>=HYPERLINK("https://leilaoonline.com.br/lote/detalhe/191392", " CAMINHÃO VOLKSWAGEM 26.220 EURO3 WORKER; ANO 2008/2009; BRANCO (COM TANQUE DE FIBRA). - FR92320/FR10601. - LOC. JUNQUEIRA")</f>
      </c>
      <c r="C316" s="4" t="inlineStr">
        <is>
          <t>Vendido</t>
        </is>
      </c>
      <c r="D316" s="4" t="inlineStr">
        <is>
          <t>58</t>
        </is>
      </c>
      <c r="E316" s="5" t="inlineStr">
        <is>
          <t>92.000,00</t>
        </is>
      </c>
      <c r="F316" s="4" t="inlineStr">
        <is>
          <t>1000.00</t>
        </is>
      </c>
    </row>
    <row collapsed="false" customFormat="false" customHeight="false" hidden="false" ht="12.1" outlineLevel="0" r="317">
      <c r="A317" s="5" t="s">
        <f>=HYPERLINK("https://leilaoonline.com.br/lote/detalhe/190690", "32000")</f>
      </c>
      <c r="B317" s="4" t="s">
        <f>=HYPERLINK("https://leilaoonline.com.br/lote/detalhe/190690", "SUCATA DE MOVEIS E UTENSÍLIOS. - LOC. BARRA BONITA")</f>
      </c>
      <c r="C317" s="4" t="inlineStr">
        <is>
          <t>Vendido</t>
        </is>
      </c>
      <c r="D317" s="4" t="inlineStr">
        <is>
          <t>2</t>
        </is>
      </c>
      <c r="E317" s="5" t="inlineStr">
        <is>
          <t>300,00</t>
        </is>
      </c>
      <c r="F317" s="4" t="inlineStr">
        <is>
          <t>100.00</t>
        </is>
      </c>
    </row>
    <row collapsed="false" customFormat="false" customHeight="false" hidden="false" ht="12.1" outlineLevel="0" r="318">
      <c r="A318" s="5" t="s">
        <f>=HYPERLINK("https://leilaoonline.com.br/lote/detalhe/190891", "32001")</f>
      </c>
      <c r="B318" s="4" t="s">
        <f>=HYPERLINK("https://leilaoonline.com.br/lote/detalhe/190891", "SUCATAS DE FERRO - EQUIPAMENTOS DE POSTO, LOC. SANTA CANDIDA")</f>
      </c>
      <c r="C318" s="4" t="inlineStr">
        <is>
          <t>Vendido</t>
        </is>
      </c>
      <c r="D318" s="4" t="inlineStr">
        <is>
          <t>1</t>
        </is>
      </c>
      <c r="E318" s="5" t="inlineStr">
        <is>
          <t>100,00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=HYPERLINK("https://leilaoonline.com.br/lote/detalhe/190892", "32002")</f>
      </c>
      <c r="B319" s="4" t="s">
        <f>=HYPERLINK("https://leilaoonline.com.br/lote/detalhe/190892", "SUCATAS DE FERRO, SENDO 7 VÁLVULAS E 5 BOMBAS - LOC. DIAMANTE ")</f>
      </c>
      <c r="C319" s="4" t="inlineStr">
        <is>
          <t>Vendido</t>
        </is>
      </c>
      <c r="D319" s="4" t="inlineStr">
        <is>
          <t>25</t>
        </is>
      </c>
      <c r="E319" s="5" t="inlineStr">
        <is>
          <t>3.400,00</t>
        </is>
      </c>
      <c r="F319" s="4" t="inlineStr">
        <is>
          <t>150.00</t>
        </is>
      </c>
    </row>
    <row collapsed="false" customFormat="false" customHeight="false" hidden="false" ht="12.1" outlineLevel="0" r="320">
      <c r="A320" s="5" t="s">
        <f>=HYPERLINK("https://leilaoonline.com.br/lote/detalhe/190895", "32004")</f>
      </c>
      <c r="B320" s="4" t="s">
        <f>=HYPERLINK("https://leilaoonline.com.br/lote/detalhe/190895", "SUCATA DE TUBOS DE INOX - APROX. 4 TON ( VENDA POR KILO) - LOC. BONFIM")</f>
      </c>
      <c r="C320" s="4" t="inlineStr">
        <is>
          <t>Não vendido</t>
        </is>
      </c>
      <c r="D320" s="4" t="inlineStr">
        <is>
          <t>30</t>
        </is>
      </c>
      <c r="E320" s="5" t="inlineStr">
        <is>
          <t>24.000,00</t>
        </is>
      </c>
      <c r="F320" s="4" t="inlineStr">
        <is>
          <t>0.10</t>
        </is>
      </c>
    </row>
    <row collapsed="false" customFormat="false" customHeight="false" hidden="false" ht="12.1" outlineLevel="0" r="321">
      <c r="A321" s="5" t="s">
        <f>=HYPERLINK("https://leilaoonline.com.br/lote/detalhe/190896", "32005")</f>
      </c>
      <c r="B321" s="4" t="s">
        <f>=HYPERLINK("https://leilaoonline.com.br/lote/detalhe/190896", "LOTE SUCATA DE BORRACHA DE ESTEIRA (APROX. 1 CAMINHÃO TRUCK) - LOC. BONFIM")</f>
      </c>
      <c r="C321" s="4" t="inlineStr">
        <is>
          <t>Vendido</t>
        </is>
      </c>
      <c r="D321" s="4" t="inlineStr">
        <is>
          <t>15</t>
        </is>
      </c>
      <c r="E321" s="5" t="inlineStr">
        <is>
          <t>8.000,00</t>
        </is>
      </c>
      <c r="F321" s="4" t="inlineStr">
        <is>
          <t>500.00</t>
        </is>
      </c>
    </row>
    <row collapsed="false" customFormat="false" customHeight="false" hidden="false" ht="12.1" outlineLevel="0" r="322">
      <c r="A322" s="5" t="s">
        <f>=HYPERLINK("https://leilaoonline.com.br/lote/detalhe/191354", "32006")</f>
      </c>
      <c r="B322" s="4" t="s">
        <f>=HYPERLINK("https://leilaoonline.com.br/lote/detalhe/191354", "CAIXA DE ÁGUA DE APROX. 60 MIL LITROS - UNIDADE JATAÍ")</f>
      </c>
      <c r="C322" s="4" t="inlineStr">
        <is>
          <t>Não vendido</t>
        </is>
      </c>
      <c r="D322" s="4" t="inlineStr">
        <is>
          <t>72</t>
        </is>
      </c>
      <c r="E322" s="5" t="inlineStr">
        <is>
          <t>39.750,00</t>
        </is>
      </c>
      <c r="F322" s="4" t="inlineStr">
        <is>
          <t>1000.00</t>
        </is>
      </c>
    </row>
    <row collapsed="false" customFormat="false" customHeight="false" hidden="false" ht="12.1" outlineLevel="0" r="323">
      <c r="A323" s="5" t="s">
        <f>=HYPERLINK("https://leilaoonline.com.br/lote/detalhe/192687", "32007")</f>
      </c>
      <c r="B323" s="4" t="s">
        <f>=HYPERLINK("https://leilaoonline.com.br/lote/detalhe/192687", "LOTE COM APROXIMADAMENTE 200 PALETES (LANCE POR UNIDADE) - LOC. UNIDADE SERRA")</f>
      </c>
      <c r="C323" s="4" t="inlineStr">
        <is>
          <t>Vendido</t>
        </is>
      </c>
      <c r="D323" s="4" t="inlineStr">
        <is>
          <t>3</t>
        </is>
      </c>
      <c r="E323" s="5" t="inlineStr">
        <is>
          <t>240,00</t>
        </is>
      </c>
      <c r="F323" s="4" t="inlineStr">
        <is>
          <t>0.20</t>
        </is>
      </c>
    </row>
    <row collapsed="false" customFormat="false" customHeight="false" hidden="false" ht="12.1" outlineLevel="0" r="324">
      <c r="A324" s="5" t="s">
        <f>=HYPERLINK("https://leilaoonline.com.br/lote/detalhe/192691", "32008")</f>
      </c>
      <c r="B324" s="4" t="s">
        <f>=HYPERLINK("https://leilaoonline.com.br/lote/detalhe/192691", "LOTE COM APROXIDAMENTE 479 PNEUS SUCATEADOS (VENDA SEM AS RODAS) - LOC: RIO BRILHANTE")</f>
      </c>
      <c r="C324" s="4" t="inlineStr">
        <is>
          <t>Não vendido</t>
        </is>
      </c>
      <c r="D324" s="4" t="inlineStr">
        <is>
          <t>55</t>
        </is>
      </c>
      <c r="E324" s="5" t="inlineStr">
        <is>
          <t>21.000,00</t>
        </is>
      </c>
      <c r="F324" s="4" t="inlineStr">
        <is>
          <t>1000.00</t>
        </is>
      </c>
    </row>
    <row collapsed="false" customFormat="false" customHeight="false" hidden="false" ht="12.1" outlineLevel="0" r="325">
      <c r="A325" s="5" t="s">
        <f>=HYPERLINK("https://leilaoonline.com.br/lote/detalhe/193043", "32009")</f>
      </c>
      <c r="B325" s="4" t="s">
        <f>=HYPERLINK("https://leilaoonline.com.br/lote/detalhe/193043", "CARROCERIA CAM BORRAC 5,30X2,52X0,60M - ANO 2011 - FR165562 - S/N CHASSI , S/N PLACA - LOC. JATAI")</f>
      </c>
      <c r="C325" s="4" t="inlineStr">
        <is>
          <t>Vendido</t>
        </is>
      </c>
      <c r="D325" s="4" t="inlineStr">
        <is>
          <t>84</t>
        </is>
      </c>
      <c r="E325" s="5" t="inlineStr">
        <is>
          <t>54.000,00</t>
        </is>
      </c>
      <c r="F32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2026-07-13T10:24:34.00Z</dcterms:created>
  <dc:creator>Tellks Tecnologia</dc:creator>
  <cp:revision>0</cp:revision>
</cp:coreProperties>
</file>