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ESCAVADEIRAS - PRANCHAS - 6 AMBULÂNCIAS SPRINTER - ITENS ALMOX.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=HYPERLINK("https://leilaoonline.com.br/lote/detalhe/147985", "945")</f>
      </c>
      <c r="B11" s="4" t="s">
        <f>=HYPERLINK("https://leilaoonline.com.br/lote/detalhe/147985", " CKS-ATI-059-2022 - CAMINHÃO KOMATSU, MOD. 830E, ANO 2006. - LOC. CARAJÁS/PA")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720.000,00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=HYPERLINK("https://leilaoonline.com.br/lote/detalhe/147986", "946")</f>
      </c>
      <c r="B12" s="4" t="s">
        <f>=HYPERLINK("https://leilaoonline.com.br/lote/detalhe/147986", " CKS-ATI-066-2022 - RETROESCAVADEIRA CATERPILLAR, MOD. 345D, ANO  2011. - LOC. CARAJÁS/PA")</f>
      </c>
      <c r="C12" s="4" t="inlineStr">
        <is>
          <t>Vendido</t>
        </is>
      </c>
      <c r="D12" s="4" t="inlineStr">
        <is>
          <t>1</t>
        </is>
      </c>
      <c r="E12" s="5" t="inlineStr">
        <is>
          <t>250.000,00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=HYPERLINK("https://leilaoonline.com.br/lote/detalhe/147987", "947")</f>
      </c>
      <c r="B13" s="4" t="s">
        <f>=HYPERLINK("https://leilaoonline.com.br/lote/detalhe/147987", " ITA-049-2022- Escavadeira LIEBHERR, MOD. 964C, ANO 2013, SERIE 116533790, LOC. ITABIRA / MG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=HYPERLINK("https://leilaoonline.com.br/lote/detalhe/147988", "948")</f>
      </c>
      <c r="B14" s="4" t="s">
        <f>=HYPERLINK("https://leilaoonline.com.br/lote/detalhe/147988", " ITA-050-2022 - Escavadeira LIEBHERR, MOD.964C, ANO 2013, SERIE 116533044,  LOC. ITABIRA / MG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=HYPERLINK("https://leilaoonline.com.br/lote/detalhe/147995", "949")</f>
      </c>
      <c r="B15" s="4" t="s">
        <f>=HYPERLINK("https://leilaoonline.com.br/lote/detalhe/147995", " SSG-016-2022 - PF2106 - Perfuratriz BUCYRUS 49HR(MD6640), 2007 - LOC: CANAA DOS CARAJAS/ PA")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37.000,00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=HYPERLINK("https://leilaoonline.com.br/lote/detalhe/147990", "950")</f>
      </c>
      <c r="B16" s="4" t="s">
        <f>=HYPERLINK("https://leilaoonline.com.br/lote/detalhe/147990", " OIA-021-2022 - CAMINHÃO ARTICULADO CATERPILLAR 740 39.5 TON, 2008 - LOC. Ourilândia/ PA")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=HYPERLINK("https://leilaoonline.com.br/lote/detalhe/148552", "951")</f>
      </c>
      <c r="B17" s="4" t="s">
        <f>=HYPERLINK("https://leilaoonline.com.br/lote/detalhe/148552", " ITA-067-2022 - TRATOR DE PNEU KOMATSU, MOD. WD600, ANO 2010. - LOC. ITABIRA/MG")</f>
      </c>
      <c r="C17" s="4" t="inlineStr">
        <is>
          <t>Vendido</t>
        </is>
      </c>
      <c r="D17" s="4" t="inlineStr">
        <is>
          <t>5</t>
        </is>
      </c>
      <c r="E17" s="5" t="inlineStr">
        <is>
          <t>18.036,00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=HYPERLINK("https://leilaoonline.com.br/lote/detalhe/148557", "952")</f>
      </c>
      <c r="B18" s="4" t="s">
        <f>=HYPERLINK("https://leilaoonline.com.br/lote/detalhe/148557", " CKS-ATI-074-2022 - CARREGADEIRA CATERPILLAR, MOD. PC988H, ANO 2011. - LOC. CARAJÁS/PA")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930.000,00</t>
        </is>
      </c>
      <c r="F18" s="4" t="inlineStr">
        <is>
          <t>10000.00</t>
        </is>
      </c>
    </row>
    <row collapsed="false" customFormat="false" customHeight="false" hidden="false" ht="12.1" outlineLevel="0" r="19">
      <c r="A19" s="5" t="s">
        <f>=HYPERLINK("https://leilaoonline.com.br/lote/detalhe/148530", "953")</f>
      </c>
      <c r="B19" s="4" t="s">
        <f>=HYPERLINK("https://leilaoonline.com.br/lote/detalhe/148530", " CKS-ATI-075-2022 - CARREGADEIRA CATERPILLAR, MOD. PC980H, ANO 2011. - LOC. CARAJÁS/PA")</f>
      </c>
      <c r="C19" s="4" t="inlineStr">
        <is>
          <t>Vendido</t>
        </is>
      </c>
      <c r="D19" s="4" t="inlineStr">
        <is>
          <t>52</t>
        </is>
      </c>
      <c r="E19" s="5" t="inlineStr">
        <is>
          <t>305.000,00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=HYPERLINK("https://leilaoonline.com.br/lote/detalhe/148523", "954")</f>
      </c>
      <c r="B20" s="4" t="s">
        <f>=HYPERLINK("https://leilaoonline.com.br/lote/detalhe/148523", " CKS-ATI-076-2022 - CARRGADEIRA CATERPILLAR, MOD. PC988H, ANO 2012. - LOC. CARAJÁS/PA")</f>
      </c>
      <c r="C20" s="4" t="inlineStr">
        <is>
          <t>Vendido</t>
        </is>
      </c>
      <c r="D20" s="4" t="inlineStr">
        <is>
          <t>34</t>
        </is>
      </c>
      <c r="E20" s="5" t="inlineStr">
        <is>
          <t>900.000,00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=HYPERLINK("https://leilaoonline.com.br/lote/detalhe/148541", "955")</f>
      </c>
      <c r="B21" s="4" t="s">
        <f>=HYPERLINK("https://leilaoonline.com.br/lote/detalhe/148541", " CKS-ATI-077-2022 - CARREGADEIRA CATERPILLAR, MOD. 988H, ANO 2012. - LOC. CARAJÁS/PA")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990.000,00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=HYPERLINK("https://leilaoonline.com.br/lote/detalhe/148563", "956")</f>
      </c>
      <c r="B22" s="4" t="s">
        <f>=HYPERLINK("https://leilaoonline.com.br/lote/detalhe/148563", " CKS-ATI-067-2022 - RETROESCAVADEIRA CATERPILLAR, MOD. 323D, ANO 2012. - LOC. CARAJÁS/PA")</f>
      </c>
      <c r="C22" s="4" t="inlineStr">
        <is>
          <t>Vendido</t>
        </is>
      </c>
      <c r="D22" s="4" t="inlineStr">
        <is>
          <t>81</t>
        </is>
      </c>
      <c r="E22" s="5" t="inlineStr">
        <is>
          <t>242.000,00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=HYPERLINK("https://leilaoonline.com.br/lote/detalhe/148545", "957")</f>
      </c>
      <c r="B23" s="4" t="s">
        <f>=HYPERLINK("https://leilaoonline.com.br/lote/detalhe/148545", " ITA-069-2022 - CAMINHÃO CATERPILLAR, MOD. 789C, ANO 2009. - LOC. ITABIRA/MG")</f>
      </c>
      <c r="C23" s="4" t="inlineStr">
        <is>
          <t>Vendido</t>
        </is>
      </c>
      <c r="D23" s="4" t="inlineStr">
        <is>
          <t>9</t>
        </is>
      </c>
      <c r="E23" s="5" t="inlineStr">
        <is>
          <t>102.500,00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=HYPERLINK("https://leilaoonline.com.br/lote/detalhe/148544", "958")</f>
      </c>
      <c r="B24" s="4" t="s">
        <f>=HYPERLINK("https://leilaoonline.com.br/lote/detalhe/148544", " ITA-071-2022 - CAMINHÃO CATERPILLAR, MOD. 789C, ANO 2006. - LOC. ITABIRA/MG")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=HYPERLINK("https://leilaoonline.com.br/lote/detalhe/148553", "959")</f>
      </c>
      <c r="B25" s="4" t="s">
        <f>=HYPERLINK("https://leilaoonline.com.br/lote/detalhe/148553", " ITA-072-2022 - MOTONIVELADORA CATERPILLAR, MOD. 16M, ANO 2012. - LOC. ITABIRA/MG")</f>
      </c>
      <c r="C25" s="4" t="inlineStr">
        <is>
          <t>Vendido</t>
        </is>
      </c>
      <c r="D25" s="4" t="inlineStr">
        <is>
          <t>34</t>
        </is>
      </c>
      <c r="E25" s="5" t="inlineStr">
        <is>
          <t>123.000,00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=HYPERLINK("https://leilaoonline.com.br/lote/detalhe/148567", "960")</f>
      </c>
      <c r="B26" s="4" t="s">
        <f>=HYPERLINK("https://leilaoonline.com.br/lote/detalhe/148567", " VIG-CA5590-2022 - CAMINHÃO CATERPILLAR, MOD. 775G, ANO 2013. - LOC. CONGONHAS/MG")</f>
      </c>
      <c r="C26" s="4" t="inlineStr">
        <is>
          <t>Vendido</t>
        </is>
      </c>
      <c r="D26" s="4" t="inlineStr">
        <is>
          <t>8</t>
        </is>
      </c>
      <c r="E26" s="5" t="inlineStr">
        <is>
          <t>75.000,00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=HYPERLINK("https://leilaoonline.com.br/lote/detalhe/148568", "961")</f>
      </c>
      <c r="B27" s="4" t="s">
        <f>=HYPERLINK("https://leilaoonline.com.br/lote/detalhe/148568", " VIG-CB067-2022 - CAMINHÃO MERCEDES BENZ ACTROS 484K 8X4, ANO 2016. - LOC. CONGONHAS/MG")</f>
      </c>
      <c r="C27" s="4" t="inlineStr">
        <is>
          <t>Vendido</t>
        </is>
      </c>
      <c r="D27" s="4" t="inlineStr">
        <is>
          <t>20</t>
        </is>
      </c>
      <c r="E27" s="5" t="inlineStr">
        <is>
          <t>197.500,00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=HYPERLINK("https://leilaoonline.com.br/lote/detalhe/148550", "962")</f>
      </c>
      <c r="B28" s="4" t="s">
        <f>=HYPERLINK("https://leilaoonline.com.br/lote/detalhe/148550", " VIG-CB070-2022 - CAMINHÃO ACTROS, 4844K 8X4, ANO 2016. - LOC. CONGONHAS/MG")</f>
      </c>
      <c r="C28" s="4" t="inlineStr">
        <is>
          <t>Vendido</t>
        </is>
      </c>
      <c r="D28" s="4" t="inlineStr">
        <is>
          <t>21</t>
        </is>
      </c>
      <c r="E28" s="5" t="inlineStr">
        <is>
          <t>200.000,00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=HYPERLINK("https://leilaoonline.com.br/lote/detalhe/148546", "963")</f>
      </c>
      <c r="B29" s="4" t="s">
        <f>=HYPERLINK("https://leilaoonline.com.br/lote/detalhe/148546", " VIG-CB078-2022 - CAMIINHÃO MERCEDES BENZ ACTROS, 4844K 8X4, ANO 2017. - LOC. CONGONHAS/MG")</f>
      </c>
      <c r="C29" s="4" t="inlineStr">
        <is>
          <t>Vendido</t>
        </is>
      </c>
      <c r="D29" s="4" t="inlineStr">
        <is>
          <t>25</t>
        </is>
      </c>
      <c r="E29" s="5" t="inlineStr">
        <is>
          <t>210.000,00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=HYPERLINK("https://leilaoonline.com.br/lote/detalhe/148556", "964")</f>
      </c>
      <c r="B30" s="4" t="s">
        <f>=HYPERLINK("https://leilaoonline.com.br/lote/detalhe/148556", " ITA-068-2022 - CAMINHÃO SCANIA 8X4, MOD. P420, ANO 2011. - LOC. ITABIRA/MG")</f>
      </c>
      <c r="C30" s="4" t="inlineStr">
        <is>
          <t>Vendido</t>
        </is>
      </c>
      <c r="D30" s="4" t="inlineStr">
        <is>
          <t>36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=HYPERLINK("https://leilaoonline.com.br/lote/detalhe/148558", "965")</f>
      </c>
      <c r="B31" s="4" t="s">
        <f>=HYPERLINK("https://leilaoonline.com.br/lote/detalhe/148558", " CKS-ATI-068-2022 - PENEIRA VIBRATÓRIA 4X10 METSO, MOD. PN4X10. - LOC. CARAJÁS/PA")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=HYPERLINK("https://leilaoonline.com.br/lote/detalhe/148560", "966")</f>
      </c>
      <c r="B32" s="4" t="s">
        <f>=HYPERLINK("https://leilaoonline.com.br/lote/detalhe/148560", " ITA-077-2022 - AMBULÂNCIA MERECDES BENZ, MOD. SPRINTER 415, ANO 2013/2014. - LOC. ITABIRA/MG")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=HYPERLINK("https://leilaoonline.com.br/lote/detalhe/148539", "967")</f>
      </c>
      <c r="B33" s="4" t="s">
        <f>=HYPERLINK("https://leilaoonline.com.br/lote/detalhe/148539", " ITA-078-2022 - AMBULÂNCIA MERECDES BENZ, MOD. SPRINTER 415, ANO 2013/2014. - LOC. ITABIRA/MG")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57.000,00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=HYPERLINK("https://leilaoonline.com.br/lote/detalhe/148532", "968")</f>
      </c>
      <c r="B34" s="4" t="s">
        <f>=HYPERLINK("https://leilaoonline.com.br/lote/detalhe/148532", " ITA-080-2022 - AMBULÂNCIA MERECDES BENZ, MOD. SPRINTER 415, ANO 2013/2014. - LOC. ITABIRA/MG")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51.000,00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=HYPERLINK("https://leilaoonline.com.br/lote/detalhe/148562", "969")</f>
      </c>
      <c r="B35" s="4" t="s">
        <f>=HYPERLINK("https://leilaoonline.com.br/lote/detalhe/148562", " ITA-082-2022 - AMBULÂNCIA MERECDES BENZ, MOD. SPRINTER 415, ANO 2013/2014.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=HYPERLINK("https://leilaoonline.com.br/lote/detalhe/148542", "970")</f>
      </c>
      <c r="B36" s="4" t="s">
        <f>=HYPERLINK("https://leilaoonline.com.br/lote/detalhe/148542", " ITA-083-2022 - AMBULÂNCIA MERECDES BENZ, MOD. SPRINTER 415, ANO 2013/2014. - LOC. ITABIRA/MG")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=HYPERLINK("https://leilaoonline.com.br/lote/detalhe/148528", "971")</f>
      </c>
      <c r="B37" s="4" t="s">
        <f>=HYPERLINK("https://leilaoonline.com.br/lote/detalhe/148528", " ITA-084-2022 - AMBULÂNCIA MERECDES BENZ, MOD. SPRINTER 415, ANO 2013/2014. - LOC. ITABIRA/MG")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63.000,00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=HYPERLINK("https://leilaoonline.com.br/lote/detalhe/148531", "972")</f>
      </c>
      <c r="B38" s="4" t="s">
        <f>=HYPERLINK("https://leilaoonline.com.br/lote/detalhe/148531", " CKS-ATI-073-2022 - PENEIRA VIBRATORIA METSO; MOD: SH 8 X 20 DD, ANO 2012. - LOC. CARAJÁS/PA")</f>
      </c>
      <c r="C38" s="4" t="inlineStr">
        <is>
          <t>Vendido</t>
        </is>
      </c>
      <c r="D38" s="4" t="inlineStr">
        <is>
          <t>94</t>
        </is>
      </c>
      <c r="E38" s="5" t="inlineStr">
        <is>
          <t>133.000,00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=HYPERLINK("https://leilaoonline.com.br/lote/detalhe/148569", "973")</f>
      </c>
      <c r="B39" s="4" t="s">
        <f>=HYPERLINK("https://leilaoonline.com.br/lote/detalhe/148569", " SFH-626-CC001-2022 - MINI ESCAVADEIRA BOBCAT, MOD. S175, ANO 2011. - LOC. SIMÕES FILHO/BA")</f>
      </c>
      <c r="C39" s="4" t="inlineStr">
        <is>
          <t>Vendido</t>
        </is>
      </c>
      <c r="D39" s="4" t="inlineStr">
        <is>
          <t>16</t>
        </is>
      </c>
      <c r="E39" s="5" t="inlineStr">
        <is>
          <t>40.000,00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=HYPERLINK("https://leilaoonline.com.br/lote/detalhe/148561", "974")</f>
      </c>
      <c r="B40" s="4" t="s">
        <f>=HYPERLINK("https://leilaoonline.com.br/lote/detalhe/148561", " SFH-626-CC005-2022 - MINI ESCAVADEIRA BOBCAT, MOD. S570, ANO 2011. - LOC. SIMÕES FILHO/BA")</f>
      </c>
      <c r="C40" s="4" t="inlineStr">
        <is>
          <t>Vendido</t>
        </is>
      </c>
      <c r="D40" s="4" t="inlineStr">
        <is>
          <t>45</t>
        </is>
      </c>
      <c r="E40" s="5" t="inlineStr">
        <is>
          <t>79.000,00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=HYPERLINK("https://leilaoonline.com.br/lote/detalhe/148566", "975")</f>
      </c>
      <c r="B41" s="4" t="s">
        <f>=HYPERLINK("https://leilaoonline.com.br/lote/detalhe/148566", " SLS-EQ-035-2022 - PLATAFORMA ELEVATORIA GENIE DELTA MAQ Z6034. - LOC. SÃO LUIS/MA")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180.500,00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=HYPERLINK("https://leilaoonline.com.br/lote/detalhe/148535", "976")</f>
      </c>
      <c r="B42" s="4" t="s">
        <f>=HYPERLINK("https://leilaoonline.com.br/lote/detalhe/148535", " 082-314-2022 - EMPILHADEIRA LIDE, MOD. H70, ANO 2002. - LOC. VITORIA/ES")</f>
      </c>
      <c r="C42" s="4" t="inlineStr">
        <is>
          <t>Vendido</t>
        </is>
      </c>
      <c r="D42" s="4" t="inlineStr">
        <is>
          <t>15</t>
        </is>
      </c>
      <c r="E42" s="5" t="inlineStr">
        <is>
          <t>39.000,00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=HYPERLINK("https://leilaoonline.com.br/lote/detalhe/148536", "977")</f>
      </c>
      <c r="B43" s="4" t="s">
        <f>=HYPERLINK("https://leilaoonline.com.br/lote/detalhe/148536", " 082-417-2022 - SEPARADOR CENTRIFUGA ALFA LAVAL, MOD. S 986 FLEX, ANO 2012. - LOC. VITÓRIA/ES")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150.000,00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=HYPERLINK("https://leilaoonline.com.br/lote/detalhe/148551", "978")</f>
      </c>
      <c r="B44" s="4" t="s">
        <f>=HYPERLINK("https://leilaoonline.com.br/lote/detalhe/148551", " 082-418-2022 - CENTRIFUGA DE ÓLEO ALFA LVAL, MOD. SU700, ANO 2002. - LOC. VITÓRIA/ES")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=HYPERLINK("https://leilaoonline.com.br/lote/detalhe/148521", "979")</f>
      </c>
      <c r="B45" s="4" t="s">
        <f>=HYPERLINK("https://leilaoonline.com.br/lote/detalhe/148521", " 082-419-2022 - PUXADOR DE TRUCK GEDI, ANO 1974. - LOC. VITÓRIA/ES")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=HYPERLINK("https://leilaoonline.com.br/lote/detalhe/148555", "980")</f>
      </c>
      <c r="B46" s="4" t="s">
        <f>=HYPERLINK("https://leilaoonline.com.br/lote/detalhe/148555", " 082-450-2022 - TORNO ID-20, MOD. ROMI, ANO 1995. - LOC. VITÓRIA/ES")</f>
      </c>
      <c r="C46" s="4" t="inlineStr">
        <is>
          <t>Não vendido</t>
        </is>
      </c>
      <c r="D46" s="4" t="inlineStr">
        <is>
          <t>12</t>
        </is>
      </c>
      <c r="E46" s="5" t="inlineStr">
        <is>
          <t>25.500,00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=HYPERLINK("https://leilaoonline.com.br/lote/detalhe/148526", "981")</f>
      </c>
      <c r="B47" s="4" t="s">
        <f>=HYPERLINK("https://leilaoonline.com.br/lote/detalhe/148526", " 082-451-2022 - PUXADOR DE TRUCK DE LOCOMOTIVAS GEDI, ANO 1974. - LOC. VITÓRIA/ES")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=HYPERLINK("https://leilaoonline.com.br/lote/detalhe/148533", "982")</f>
      </c>
      <c r="B48" s="4" t="s">
        <f>=HYPERLINK("https://leilaoonline.com.br/lote/detalhe/148533", " 082-452-2022 - PRENSA NOWAK, MOD. TESTE DE MOLA, ANO 1990. - LOC. VITÓRIA/ES")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=HYPERLINK("https://leilaoonline.com.br/lote/detalhe/148559", "983")</f>
      </c>
      <c r="B49" s="4" t="s">
        <f>=HYPERLINK("https://leilaoonline.com.br/lote/detalhe/148559", " 082-455-2022 - PUXADOR DE LOCOMOTIVAS PLANETA, MOD. SB-305-E ZUGWIN, ANO 2010. - LOC. VITÓRIA/ES")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=HYPERLINK("https://leilaoonline.com.br/lote/detalhe/148524", "984")</f>
      </c>
      <c r="B50" s="4" t="s">
        <f>=HYPERLINK("https://leilaoonline.com.br/lote/detalhe/148524", " 082-456-2022 - PUXADOR DE LOCOMOTIVAS PLANETA, MOD. SB-305-E ZUGWIN, ANO 2010. - LOC. VITÓRIA/ES")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=HYPERLINK("https://leilaoonline.com.br/lote/detalhe/148520", "985")</f>
      </c>
      <c r="B51" s="4" t="s">
        <f>=HYPERLINK("https://leilaoonline.com.br/lote/detalhe/148520", " 082-463-2022 - SEPARADOR MAGN 220VCC 60HZ. - LOC. VITÓRIA/ES")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=HYPERLINK("https://leilaoonline.com.br/lote/detalhe/148525", "986")</f>
      </c>
      <c r="B52" s="4" t="s">
        <f>=HYPERLINK("https://leilaoonline.com.br/lote/detalhe/148525", " ACA-EQ-002-2022 - GERADOR DE ENERGIA. - LOC. AÇAILÂNDIA/MA")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=HYPERLINK("https://leilaoonline.com.br/lote/detalhe/148522", "987")</f>
      </c>
      <c r="B53" s="4" t="s">
        <f>=HYPERLINK("https://leilaoonline.com.br/lote/detalhe/148522", " CKS-ATI-072-2022 - 3 EMPILHADEIRAS ELETRICAS DIVERSAS DE PEQ. PORTE. - VEJA DESCRITIVO DE ITENS. - LOC. CARAJÁS/PA")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=HYPERLINK("https://leilaoonline.com.br/lote/detalhe/148549", "988")</f>
      </c>
      <c r="B54" s="4" t="s">
        <f>=HYPERLINK("https://leilaoonline.com.br/lote/detalhe/148549", " CKS-ATI-078-2022 - MAQUINA DE FILETAR, ESAB, MOD. COMBIREX, ANO 2013. - LOC. CARAJÁS/PA")</f>
      </c>
      <c r="C54" s="4" t="inlineStr">
        <is>
          <t>Não vendido</t>
        </is>
      </c>
      <c r="D54" s="4" t="inlineStr">
        <is>
          <t>18</t>
        </is>
      </c>
      <c r="E54" s="5" t="inlineStr">
        <is>
          <t>31.000,00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=HYPERLINK("https://leilaoonline.com.br/lote/detalhe/148534", "989")</f>
      </c>
      <c r="B55" s="4" t="s">
        <f>=HYPERLINK("https://leilaoonline.com.br/lote/detalhe/148534", " GOV-056-2022 - GUINDASTE ATLAS, MOD. AK4006, ANO 1996. - LOC. GOVERNADOR VALADARES/MG")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30.500,00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=HYPERLINK("https://leilaoonline.com.br/lote/detalhe/148564", "990")</f>
      </c>
      <c r="B56" s="4" t="s">
        <f>=HYPERLINK("https://leilaoonline.com.br/lote/detalhe/148564", " GOV-057-2022 - GUINDASTE ATLAS, MOD. AK4006, ANO 2012. - LOC. GOVERNADOR VALADARES/MG")</f>
      </c>
      <c r="C56" s="4" t="inlineStr">
        <is>
          <t>Vendido</t>
        </is>
      </c>
      <c r="D56" s="4" t="inlineStr">
        <is>
          <t>29</t>
        </is>
      </c>
      <c r="E56" s="5" t="inlineStr">
        <is>
          <t>40.500,00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=HYPERLINK("https://leilaoonline.com.br/lote/detalhe/148527", "991")</f>
      </c>
      <c r="B57" s="4" t="s">
        <f>=HYPERLINK("https://leilaoonline.com.br/lote/detalhe/148527", " GOV-058-2022 - GUINDASTE ATLAS, MOD. AK4006, ANO 1996. - LOC. GOVERNADOR VALADARES/MG")</f>
      </c>
      <c r="C57" s="4" t="inlineStr">
        <is>
          <t>Não vendido</t>
        </is>
      </c>
      <c r="D57" s="4" t="inlineStr">
        <is>
          <t>22</t>
        </is>
      </c>
      <c r="E57" s="5" t="inlineStr">
        <is>
          <t>33.500,00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=HYPERLINK("https://leilaoonline.com.br/lote/detalhe/148565", "992")</f>
      </c>
      <c r="B58" s="4" t="s">
        <f>=HYPERLINK("https://leilaoonline.com.br/lote/detalhe/148565", " GOV-059-2022 - GUINDASTE ATLAS, MOD. AK4006, ANO 2002. - LOC. GOVERNADOR VALADARES/MG")</f>
      </c>
      <c r="C58" s="4" t="inlineStr">
        <is>
          <t>Vendido</t>
        </is>
      </c>
      <c r="D58" s="4" t="inlineStr">
        <is>
          <t>11</t>
        </is>
      </c>
      <c r="E58" s="5" t="inlineStr">
        <is>
          <t>22.500,00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=HYPERLINK("https://leilaoonline.com.br/lote/detalhe/148529", "993")</f>
      </c>
      <c r="B59" s="4" t="s">
        <f>=HYPERLINK("https://leilaoonline.com.br/lote/detalhe/148529", " GOV-060-2022 - GUINDASTE ATLAS, MOD. AK4006, ANO 2003. - LOC. GOVERNADOR VALADARES/MG")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22.500,00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=HYPERLINK("https://leilaoonline.com.br/lote/detalhe/148537", "994")</f>
      </c>
      <c r="B60" s="4" t="s">
        <f>=HYPERLINK("https://leilaoonline.com.br/lote/detalhe/148537", " ITA-066-2022 - PRANCHA RANDON, ANO 1992. - LOC. ITABIRA/MG")</f>
      </c>
      <c r="C60" s="4" t="inlineStr">
        <is>
          <t>Vendido</t>
        </is>
      </c>
      <c r="D60" s="4" t="inlineStr">
        <is>
          <t>66</t>
        </is>
      </c>
      <c r="E60" s="5" t="inlineStr">
        <is>
          <t>90.000,00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=HYPERLINK("https://leilaoonline.com.br/lote/detalhe/148554", "995")</f>
      </c>
      <c r="B61" s="4" t="s">
        <f>=HYPERLINK("https://leilaoonline.com.br/lote/detalhe/148554", " ITA-070-2022 - PRANCHA HERCULES, MOD. TR 200MT, ANO 2004. - LOC. ITABIRA/MG")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=HYPERLINK("https://leilaoonline.com.br/lote/detalhe/148547", "996")</f>
      </c>
      <c r="B62" s="4" t="s">
        <f>=HYPERLINK("https://leilaoonline.com.br/lote/detalhe/148547", " ITA-073-2022 - 3 CENTROS DE CONTROLE DE MOTORES SCHNEIDER BT480. - LOC. ITABIRA/MG")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54.000,00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=HYPERLINK("https://leilaoonline.com.br/lote/detalhe/148538", "997")</f>
      </c>
      <c r="B63" s="4" t="s">
        <f>=HYPERLINK("https://leilaoonline.com.br/lote/detalhe/148538", " PIC-430-2022 - COMANDO FINAL 2606650 CATERPILLAR. - LOC. ITABIRITO/MG")</f>
      </c>
      <c r="C63" s="4" t="inlineStr">
        <is>
          <t>Vendido</t>
        </is>
      </c>
      <c r="D63" s="4" t="inlineStr">
        <is>
          <t>33</t>
        </is>
      </c>
      <c r="E63" s="5" t="inlineStr">
        <is>
          <t>42.000,00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=HYPERLINK("https://leilaoonline.com.br/lote/detalhe/148548", "998")</f>
      </c>
      <c r="B64" s="4" t="s">
        <f>=HYPERLINK("https://leilaoonline.com.br/lote/detalhe/148548", " PIC-432-2022 - RODA GENERAL ELECTRIC, E MOTOR ELETR R4264 JOY GLOBAL. - LOC. ITABIRITO/MG")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43.000,00</t>
        </is>
      </c>
      <c r="F64" s="4" t="inlineStr">
        <is>
          <t>1500.00</t>
        </is>
      </c>
    </row>
    <row collapsed="false" customFormat="false" customHeight="false" hidden="false" ht="12.1" outlineLevel="0" r="65">
      <c r="A65" s="5" t="s">
        <f>=HYPERLINK("https://leilaoonline.com.br/lote/detalhe/148540", "999")</f>
      </c>
      <c r="B65" s="4" t="s">
        <f>=HYPERLINK("https://leilaoonline.com.br/lote/detalhe/148540", " PIC-433-2022 - RODA GENERAL ELECTRIC -  LOC. ITABIRITO/MG")</f>
      </c>
      <c r="C65" s="4" t="inlineStr">
        <is>
          <t>Vendido</t>
        </is>
      </c>
      <c r="D65" s="4" t="inlineStr">
        <is>
          <t>10</t>
        </is>
      </c>
      <c r="E65" s="5" t="inlineStr">
        <is>
          <t>43.000,00</t>
        </is>
      </c>
      <c r="F65" s="4" t="inlineStr">
        <is>
          <t>1500.00</t>
        </is>
      </c>
    </row>
    <row collapsed="false" customFormat="false" customHeight="false" hidden="false" ht="12.1" outlineLevel="0" r="66">
      <c r="A66" s="5" t="s">
        <f>=HYPERLINK("https://leilaoonline.com.br/lote/detalhe/148543", "1000")</f>
      </c>
      <c r="B66" s="4" t="s">
        <f>=HYPERLINK("https://leilaoonline.com.br/lote/detalhe/148543", " SLS-EQ-040-2021 - REBOQUE RANDON SR CT, ANO 2009. - LOC. SÃO LUIS/MA")</f>
      </c>
      <c r="C66" s="4" t="inlineStr">
        <is>
          <t>Vendido</t>
        </is>
      </c>
      <c r="D66" s="4" t="inlineStr">
        <is>
          <t>56</t>
        </is>
      </c>
      <c r="E66" s="5" t="inlineStr">
        <is>
          <t>111.000,00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=HYPERLINK("https://leilaoonline.com.br/lote/detalhe/150511", "1010")</f>
      </c>
      <c r="B67" s="4" t="s">
        <f>=HYPERLINK("https://leilaoonline.com.br/lote/detalhe/150511", " ITA-048-2022- Niveladora CATERPILLAR, 24M, ANO 2009, SERIE B9K00322, LOC. ITABIRA / MG")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131.000,00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=HYPERLINK("https://leilaoonline.com.br/lote/detalhe/147989", "1043")</f>
      </c>
      <c r="B68" s="4" t="s">
        <f>=HYPERLINK("https://leilaoonline.com.br/lote/detalhe/147989", " ITA-012-2022 - 08 PAINEIS ELETRICOS, LOC. ITABIRA/MG")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=HYPERLINK("https://leilaoonline.com.br/lote/detalhe/147993", "1044")</f>
      </c>
      <c r="B69" s="4" t="s">
        <f>=HYPERLINK("https://leilaoonline.com.br/lote/detalhe/147993", " CD-171-2022 - 1 COMANDO FINAL 1982700621 KOMATSU - LOC. BARÃO DE COCAIS/MG")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=HYPERLINK("https://leilaoonline.com.br/lote/detalhe/147991", "1045")</f>
      </c>
      <c r="B70" s="4" t="s">
        <f>=HYPERLINK("https://leilaoonline.com.br/lote/detalhe/147991", " CD-172-2022 - 1 TRANSMISSION WD500 - LOC. BARÃO DE COCAIS/MG")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15.500,00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=HYPERLINK("https://leilaoonline.com.br/lote/detalhe/147994", "1046")</f>
      </c>
      <c r="B71" s="4" t="s">
        <f>=HYPERLINK("https://leilaoonline.com.br/lote/detalhe/147994", " CD-173-2022 - 1 CONVERSOR DE TORQUE 1T2028 CATERPILLAR. - LOC. BARÃO DE COCAIS/MG")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=HYPERLINK("https://leilaoonline.com.br/lote/detalhe/147992", "1048")</f>
      </c>
      <c r="B72" s="4" t="s">
        <f>=HYPERLINK("https://leilaoonline.com.br/lote/detalhe/147992", " CKS-ATI-060-2022 - TALHA 3 TON TE 1810KN 01, ANO 2011. - LOC. CARAJÁS/PA")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=HYPERLINK("https://leilaoonline.com.br/lote/detalhe/147999", "1052")</f>
      </c>
      <c r="B73" s="4" t="s">
        <f>=HYPERLINK("https://leilaoonline.com.br/lote/detalhe/147999", " CKS-ATI-064-2022 - PRANCHA HERCULES EQUIPM, MOD. PRHE130T, ANO 2012. - LOC. CARAJÁS/PA")</f>
      </c>
      <c r="C73" s="4" t="inlineStr">
        <is>
          <t>Não vendido</t>
        </is>
      </c>
      <c r="D73" s="4" t="inlineStr">
        <is>
          <t>7</t>
        </is>
      </c>
      <c r="E73" s="5" t="inlineStr">
        <is>
          <t>26.000,00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=HYPERLINK("https://leilaoonline.com.br/lote/detalhe/150510", "1053")</f>
      </c>
      <c r="B74" s="4" t="s">
        <f>=HYPERLINK("https://leilaoonline.com.br/lote/detalhe/150510", " SLS-EQ-006-2022 - Escavadeira CATERPILLAR, 312 DL, 2011 - LOC: São Luís - MA")</f>
      </c>
      <c r="C74" s="4" t="inlineStr">
        <is>
          <t>Vendido</t>
        </is>
      </c>
      <c r="D74" s="4" t="inlineStr">
        <is>
          <t>26</t>
        </is>
      </c>
      <c r="E74" s="5" t="inlineStr">
        <is>
          <t>150.000,00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=HYPERLINK("https://leilaoonline.com.br/lote/detalhe/147996", "1054")</f>
      </c>
      <c r="B75" s="4" t="s">
        <f>=HYPERLINK("https://leilaoonline.com.br/lote/detalhe/147996", " CKS-ATI-065-2022 - TORRE DE ILUMINAÇÃO INGERSOLL-RAND, MOD. TILSCD56, ANO 2006. - LOC. CARAJÁS/PA")</f>
      </c>
      <c r="C75" s="4" t="inlineStr">
        <is>
          <t>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=HYPERLINK("https://leilaoonline.com.br/lote/detalhe/148004", "1060")</f>
      </c>
      <c r="B76" s="4" t="s">
        <f>=HYPERLINK("https://leilaoonline.com.br/lote/detalhe/148004", " ITA-064-2022- 04 ITENS, ANALISADOR, VISCOMETRO E OUTROS - VEJA DESCRITIVO DE ITENS - LOC. ITABIRA/MG")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=HYPERLINK("https://leilaoonline.com.br/lote/detalhe/148002", "1064")</f>
      </c>
      <c r="B77" s="4" t="s">
        <f>=HYPERLINK("https://leilaoonline.com.br/lote/detalhe/148002", " OIA-004-2022 - TORRE DE ILUMINAÇÃO - TIF-15 - GAMMA COBRA, 2008 - LOC. Ourilândia/ PA")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=HYPERLINK("https://leilaoonline.com.br/lote/detalhe/148000", "1065")</f>
      </c>
      <c r="B78" s="4" t="s">
        <f>=HYPERLINK("https://leilaoonline.com.br/lote/detalhe/148000", " OIA-005-2022 - TORRE DE ILUMINAÇÃO - TILSCD56 - INGERSOLL-RAND, 2010 - LOC. Ourilândia/ PA")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3.750,00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=HYPERLINK("https://leilaoonline.com.br/lote/detalhe/148003", "1066")</f>
      </c>
      <c r="B79" s="4" t="s">
        <f>=HYPERLINK("https://leilaoonline.com.br/lote/detalhe/148003", " OIA-006-2022 - TORRE DE ILUMINAÇÃO - TI-7519 - GAMMA COBRA, 2011 - LOC. Ourilândia/ PA")</f>
      </c>
      <c r="C79" s="4" t="inlineStr">
        <is>
          <t>Não vendido</t>
        </is>
      </c>
      <c r="D79" s="4" t="inlineStr">
        <is>
          <t>8</t>
        </is>
      </c>
      <c r="E79" s="5" t="inlineStr">
        <is>
          <t>3.750,00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=HYPERLINK("https://leilaoonline.com.br/lote/detalhe/148001", "1067")</f>
      </c>
      <c r="B80" s="4" t="s">
        <f>=HYPERLINK("https://leilaoonline.com.br/lote/detalhe/148001", " OIA-036-2022 - Máquina de Solda EUTECTIC CASTOLIN, GST750, 2010 - LOC. Ourilândia/ PA")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=HYPERLINK("https://leilaoonline.com.br/lote/detalhe/148005", "1071")</f>
      </c>
      <c r="B81" s="4" t="s">
        <f>=HYPERLINK("https://leilaoonline.com.br/lote/detalhe/148005", " SLB-038-2022 - 2 BOMBA DRENAGEM GODWIN HL 225M - LOC: MARABÁ/ PARÁ")</f>
      </c>
      <c r="C81" s="4" t="inlineStr">
        <is>
          <t>Vendido</t>
        </is>
      </c>
      <c r="D81" s="4" t="inlineStr">
        <is>
          <t>3</t>
        </is>
      </c>
      <c r="E81" s="5" t="inlineStr">
        <is>
          <t>52.000,00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=HYPERLINK("https://leilaoonline.com.br/lote/detalhe/147997", "1072")</f>
      </c>
      <c r="B82" s="4" t="s">
        <f>=HYPERLINK("https://leilaoonline.com.br/lote/detalhe/147997", " SLS-EQ-031-2022 - Guindaste ROBEL SM 0009, 2005 - LOC: São Luís - MA")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=HYPERLINK("https://leilaoonline.com.br/lote/detalhe/147998", "1073")</f>
      </c>
      <c r="B83" s="4" t="s">
        <f>=HYPERLINK("https://leilaoonline.com.br/lote/detalhe/147998", " SLS-EQZIPI-003-2022 - Container - LOC: São Luís - MA")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=HYPERLINK("https://leilaoonline.com.br/lote/detalhe/148688", "1107")</f>
      </c>
      <c r="B84" s="4" t="s">
        <f>=HYPERLINK("https://leilaoonline.com.br/lote/detalhe/148688", " 082-441-2022- APROX. 63 ITENS, TRANSFORMADORES, CAVALETES, E OUTROS - VEJA DESCRITIVO DE ITENS - LOC.VITÓRIA/ES")</f>
      </c>
      <c r="C84" s="4" t="inlineStr">
        <is>
          <t>Vendido</t>
        </is>
      </c>
      <c r="D84" s="4" t="inlineStr">
        <is>
          <t>20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=HYPERLINK("https://leilaoonline.com.br/lote/detalhe/148008", "1113")</f>
      </c>
      <c r="B85" s="4" t="s">
        <f>=HYPERLINK("https://leilaoonline.com.br/lote/detalhe/148008", " 082-306-2022- APROX. 3562 ITENS. - DISJUNTOR, FUSÍVEL, RETENTOR E OUTROS-VEJA DESCRITIVO DE ITENS.-LOC VITÓRIA/ES")</f>
      </c>
      <c r="C85" s="4" t="inlineStr">
        <is>
          <t>Não vendido</t>
        </is>
      </c>
      <c r="D85" s="4" t="inlineStr">
        <is>
          <t>22</t>
        </is>
      </c>
      <c r="E85" s="5" t="inlineStr">
        <is>
          <t>3.200,00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=HYPERLINK("https://leilaoonline.com.br/lote/detalhe/148007", "1114")</f>
      </c>
      <c r="B86" s="4" t="s">
        <f>=HYPERLINK("https://leilaoonline.com.br/lote/detalhe/148007", " 082-323-2022- APROX. 471 ITENS. - BANJO COMPONENTES, PARAFUSOS, FILTRO DE AR E OUTROS-VEJA DESCRITIVO DE ITENS.-LOC VITÓRIA/ES")</f>
      </c>
      <c r="C86" s="4" t="inlineStr">
        <is>
          <t>Não vendido</t>
        </is>
      </c>
      <c r="D86" s="4" t="inlineStr">
        <is>
          <t>36</t>
        </is>
      </c>
      <c r="E86" s="5" t="inlineStr">
        <is>
          <t>8.400,00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=HYPERLINK("https://leilaoonline.com.br/lote/detalhe/148009", "1115")</f>
      </c>
      <c r="B87" s="4" t="s">
        <f>=HYPERLINK("https://leilaoonline.com.br/lote/detalhe/148009", " 082-325-2022- APROX. 221 ITENS. - ALOJAMENTO FILTRO, TELA COMPONENTE, MANCAL E OUTROS-VEJA DESCRITIVO DE ITENS.-LOC. VITÓRIA/ES")</f>
      </c>
      <c r="C87" s="4" t="inlineStr">
        <is>
          <t>Não vendido</t>
        </is>
      </c>
      <c r="D87" s="4" t="inlineStr">
        <is>
          <t>11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=HYPERLINK("https://leilaoonline.com.br/lote/detalhe/148010", "1116")</f>
      </c>
      <c r="B88" s="4" t="s">
        <f>=HYPERLINK("https://leilaoonline.com.br/lote/detalhe/148010", " 082-364-2022- APROX. 3769 ITENS. -  TERMINAL,VÁLVULA, COMPARTILHAMENTO E OUTROS-VEJA DESCRITIVO DE ITENS.-LOC. VITÓRIA/ES")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=HYPERLINK("https://leilaoonline.com.br/lote/detalhe/148011", "1128")</f>
      </c>
      <c r="B89" s="4" t="s">
        <f>=HYPERLINK("https://leilaoonline.com.br/lote/detalhe/148011", " 082-396-2022- APROX. 277 ITENS. - SUPORTE COMPONENTE,TANQUE,MANCAL E OUTROS-VEJA DESCRITIVO DE ITENS.-LOC. VITÓRIA/ES")</f>
      </c>
      <c r="C89" s="4" t="inlineStr">
        <is>
          <t>Não vendido</t>
        </is>
      </c>
      <c r="D89" s="4" t="inlineStr">
        <is>
          <t>19</t>
        </is>
      </c>
      <c r="E89" s="5" t="inlineStr">
        <is>
          <t>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=HYPERLINK("https://leilaoonline.com.br/lote/detalhe/148016", "1131")</f>
      </c>
      <c r="B90" s="4" t="s">
        <f>=HYPERLINK("https://leilaoonline.com.br/lote/detalhe/148016", " 082-401-2022- 1 KIT RADIADOR KST. LOC. VITÓRIA/ES")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=HYPERLINK("https://leilaoonline.com.br/lote/detalhe/148012", "1133")</f>
      </c>
      <c r="B91" s="4" t="s">
        <f>=HYPERLINK("https://leilaoonline.com.br/lote/detalhe/148012", " 082-407-2022- APROX. 37 ITENS. - LANTERNA, BUZINA, TERMOSTATO E OUTROS-VEJA DESCRITIVO DE ITENS.-LOC. VITÓRIA/ES")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=HYPERLINK("https://leilaoonline.com.br/lote/detalhe/148013", "1141")</f>
      </c>
      <c r="B92" s="4" t="s">
        <f>=HYPERLINK("https://leilaoonline.com.br/lote/detalhe/148013", " 082-432-2022- APROX. 52 ITENS. -  MOLA COMPONENTE, ABAFADOR DE RUIDOS E OUTROS-VEJA DESCRITIVO DE ITENS.-LOC. VITÓRIA/ES")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1.100,00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=HYPERLINK("https://leilaoonline.com.br/lote/detalhe/148018", "1144")</f>
      </c>
      <c r="B93" s="4" t="s">
        <f>=HYPERLINK("https://leilaoonline.com.br/lote/detalhe/148018", " 082-439-2022- APROX. 3104 ITENS. - TERMINAL, LUVA EMENDA, PRESSOSTATO E OUTROS-VEJA DESCRITIVO DE ITENS.-LOC. VITÓRIA/ES")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=HYPERLINK("https://leilaoonline.com.br/lote/detalhe/148015", "1202")</f>
      </c>
      <c r="B94" s="4" t="s">
        <f>=HYPERLINK("https://leilaoonline.com.br/lote/detalhe/148015", " ACA-MRO-006-2022 - APROX. 737 ITENS - ROLAMENTO, MOLA, VIGA E OUTROS - VEJA DESCRITIVO DE ITENS -  LOC: Açailândia - MA")</f>
      </c>
      <c r="C94" s="4" t="inlineStr">
        <is>
          <t>Não vendido</t>
        </is>
      </c>
      <c r="D94" s="4" t="inlineStr">
        <is>
          <t>6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=HYPERLINK("https://leilaoonline.com.br/lote/detalhe/150509", "1204")</f>
      </c>
      <c r="B95" s="4" t="s">
        <f>=HYPERLINK("https://leilaoonline.com.br/lote/detalhe/150509", " CD-068-2022 - APROX. 2972 ITENS - MANGUEIRA, RETENTOR, ROLAMENTO E OUTROS - VEJA DESCRITIVO DE ITENS -  LOC: Barão de Cocais/Minas Gerais")</f>
      </c>
      <c r="C95" s="4" t="inlineStr">
        <is>
          <t>Não vendido</t>
        </is>
      </c>
      <c r="D95" s="4" t="inlineStr">
        <is>
          <t>26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=HYPERLINK("https://leilaoonline.com.br/lote/detalhe/150520", "1208")</f>
      </c>
      <c r="B96" s="4" t="s">
        <f>=HYPERLINK("https://leilaoonline.com.br/lote/detalhe/150520", " CD-204-2022 - APROX. 1496 ITENS - ROLO TRANSP CARGA, VÁLVULA, LÂMPADA E OUTROS - VEJA DESCRITIVO DE ITENS -  LOC: Barão de Cocais/Minas Gerais")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700,00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=HYPERLINK("https://leilaoonline.com.br/lote/detalhe/148026", "1210")</f>
      </c>
      <c r="B97" s="4" t="s">
        <f>=HYPERLINK("https://leilaoonline.com.br/lote/detalhe/148026", " CKS-ATI-056-2022 - APROX. 25 ITENS - FURADEIRAS E ESMERILHADEIRAS - VEJA DESCRITIVO DE ITENS - LOC: PARAUAPEBAS - PARÁ")</f>
      </c>
      <c r="C97" s="4" t="inlineStr">
        <is>
          <t>Não vendido</t>
        </is>
      </c>
      <c r="D97" s="4" t="inlineStr">
        <is>
          <t>10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=HYPERLINK("https://leilaoonline.com.br/lote/detalhe/148020", "1211")</f>
      </c>
      <c r="B98" s="4" t="s">
        <f>=HYPERLINK("https://leilaoonline.com.br/lote/detalhe/148020", " CKS-ATI-057-2022 - 1 CAMERA FOTOGRAFICA DIGITAL 14.1MP; FAB SONY; MOD, -W610/L AZ; NS 8040403 -  USADO - ANO: 2013 - LOC: CARAJAS - PARÁ")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=HYPERLINK("https://leilaoonline.com.br/lote/detalhe/148029", "1212")</f>
      </c>
      <c r="B99" s="4" t="s">
        <f>=HYPERLINK("https://leilaoonline.com.br/lote/detalhe/148029", " CKS-ATI-062-2022 - 1 FORNO VIPAO 40 E 1 GRELHA A GAS - VEJA DESCRITIVO DE ITENS - LOC: CARAJAS - PARÁ")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=HYPERLINK("https://leilaoonline.com.br/lote/detalhe/148021", "1214")</f>
      </c>
      <c r="B100" s="4" t="s">
        <f>=HYPERLINK("https://leilaoonline.com.br/lote/detalhe/148021", " CKS-MRO-079-2022 - APROX. 36 ITENS - CAIXA ENGRENAGEM, TAMBOR, CILINDRO E OUTROS - VEJA DESCRITIVO DE ITENS - LOC: CARAJAS - PARÁ")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=HYPERLINK("https://leilaoonline.com.br/lote/detalhe/148017", "1215")</f>
      </c>
      <c r="B101" s="4" t="s">
        <f>=HYPERLINK("https://leilaoonline.com.br/lote/detalhe/148017", " CKS-MRO-084-2022 - APROX. 209 TENS - MODULO, ALTERNADOR. MOTOR E OUTROS - VEJA DESCRITIVO DE ITENS - LOC: CARAJAS - PARÁ")</f>
      </c>
      <c r="C101" s="4" t="inlineStr">
        <is>
          <t>Não vendido</t>
        </is>
      </c>
      <c r="D101" s="4" t="inlineStr">
        <is>
          <t>18</t>
        </is>
      </c>
      <c r="E101" s="5" t="inlineStr">
        <is>
          <t>5.250,00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=HYPERLINK("https://leilaoonline.com.br/lote/detalhe/148022", "1217")</f>
      </c>
      <c r="B102" s="4" t="s">
        <f>=HYPERLINK("https://leilaoonline.com.br/lote/detalhe/148022", " CKS-ZIP-002-2022 - APROX. 800 ITENS - RETENTOR COMPONENTE, ROLAMENTO E OUTROS - VEJA DESCRITIVO DE ITENS - LOC: CARAJAS - PARÁ")</f>
      </c>
      <c r="C102" s="4" t="inlineStr">
        <is>
          <t>Não vendido</t>
        </is>
      </c>
      <c r="D102" s="4" t="inlineStr">
        <is>
          <t>17</t>
        </is>
      </c>
      <c r="E102" s="5" t="inlineStr">
        <is>
          <t>5.750,00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=HYPERLINK("https://leilaoonline.com.br/lote/detalhe/148019", "1218")</f>
      </c>
      <c r="B103" s="4" t="s">
        <f>=HYPERLINK("https://leilaoonline.com.br/lote/detalhe/148019", " CKS-ZIP-003-2022 - APROX. 191 ITENS - CHICOTE, CORDOALHA, MANGUEIRA E OUTROS - VEJA DESCRITIVO DE ITENS - LOC: CARAJAS - PARÁ")</f>
      </c>
      <c r="C103" s="4" t="inlineStr">
        <is>
          <t>Não vendido</t>
        </is>
      </c>
      <c r="D103" s="4" t="inlineStr">
        <is>
          <t>11</t>
        </is>
      </c>
      <c r="E103" s="5" t="inlineStr">
        <is>
          <t>3.250,00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=HYPERLINK("https://leilaoonline.com.br/lote/detalhe/148024", "1219")</f>
      </c>
      <c r="B104" s="4" t="s">
        <f>=HYPERLINK("https://leilaoonline.com.br/lote/detalhe/148024", " CKS-ZIP-004-2022 - APROX. 501 ITENS - ANEL, EIXO, ROTOR E OUTROS - VEJA DESCRITIVO DE ITENS - LOC: CARAJAS - PARÁ")</f>
      </c>
      <c r="C104" s="4" t="inlineStr">
        <is>
          <t>Não vendido</t>
        </is>
      </c>
      <c r="D104" s="4" t="inlineStr">
        <is>
          <t>10</t>
        </is>
      </c>
      <c r="E104" s="5" t="inlineStr">
        <is>
          <t>2.300,00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=HYPERLINK("https://leilaoonline.com.br/lote/detalhe/148025", "1220")</f>
      </c>
      <c r="B105" s="4" t="s">
        <f>=HYPERLINK("https://leilaoonline.com.br/lote/detalhe/148025", " CKS-ZIP-005-2022 - APROX. 98 ITENS - MAGUEIRA, CONE E OUTROS - VEJA DESCRITIVO DE ITENS - LOC: CARAJAS - PARÁ")</f>
      </c>
      <c r="C105" s="4" t="inlineStr">
        <is>
          <t>Não vendido</t>
        </is>
      </c>
      <c r="D105" s="4" t="inlineStr">
        <is>
          <t>7</t>
        </is>
      </c>
      <c r="E105" s="5" t="inlineStr">
        <is>
          <t>1.100,00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=HYPERLINK("https://leilaoonline.com.br/lote/detalhe/148031", "1221")</f>
      </c>
      <c r="B106" s="4" t="s">
        <f>=HYPERLINK("https://leilaoonline.com.br/lote/detalhe/148031", " CKS-ZIP-006-2022 - APROX. 237 ITENS - RETENTOR, PISTAO COMPONENTE E OUTROS - VEJA DESCRITIVO DE ITENS - LOC: CARAJAS - PARÁ")</f>
      </c>
      <c r="C106" s="4" t="inlineStr">
        <is>
          <t>Não vendido</t>
        </is>
      </c>
      <c r="D106" s="4" t="inlineStr">
        <is>
          <t>6</t>
        </is>
      </c>
      <c r="E106" s="5" t="inlineStr">
        <is>
          <t>2.500,00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=HYPERLINK("https://leilaoonline.com.br/lote/detalhe/148030", "1222")</f>
      </c>
      <c r="B107" s="4" t="s">
        <f>=HYPERLINK("https://leilaoonline.com.br/lote/detalhe/148030", " CKS-ZIP-007-2022 - APROX. 416 ITENS - ANEL, PARAFUSO, RETENTOR E OUTROS - VEJA DESCRITIVO DE ITENS - LOC: CARAJAS - PARÁ")</f>
      </c>
      <c r="C107" s="4" t="inlineStr">
        <is>
          <t>Não vendido</t>
        </is>
      </c>
      <c r="D107" s="4" t="inlineStr">
        <is>
          <t>9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=HYPERLINK("https://leilaoonline.com.br/lote/detalhe/148023", "1223")</f>
      </c>
      <c r="B108" s="4" t="s">
        <f>=HYPERLINK("https://leilaoonline.com.br/lote/detalhe/148023", " CKS-ZIP-008-2022 - APROX. 311 ITENS - MANGUEIRA, ANEL, CONE, LUVA E OUTROS - VEJA DESCRITIVO DE ITENS - LOC: CARAJAS - PARÁ")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=HYPERLINK("https://leilaoonline.com.br/lote/detalhe/148027", "1224")</f>
      </c>
      <c r="B109" s="4" t="s">
        <f>=HYPERLINK("https://leilaoonline.com.br/lote/detalhe/148027", " CKS-ZIP-009-2022 - APROX. 450 ITENS - ARRUELA, JUNTAS E VEDAÇÕES, E OUTROS - VEJA DESCRITIVO DE ITENS - LOC: CARAJAS - PARÁ")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=HYPERLINK("https://leilaoonline.com.br/lote/detalhe/148033", "1225")</f>
      </c>
      <c r="B110" s="4" t="s">
        <f>=HYPERLINK("https://leilaoonline.com.br/lote/detalhe/148033", " CKS-ZIP-010-2022 - APROX. 295 ITENS - FILTRO HIDRAULICO, VÁLVULA, SUPORTE E OUTROS - VEJA DESCRITIVO DE ITENS - LOC: CARAJAS - PARÁ")</f>
      </c>
      <c r="C110" s="4" t="inlineStr">
        <is>
          <t>Não vendido</t>
        </is>
      </c>
      <c r="D110" s="4" t="inlineStr">
        <is>
          <t>8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=HYPERLINK("https://leilaoonline.com.br/lote/detalhe/148014", "1226")</f>
      </c>
      <c r="B111" s="4" t="s">
        <f>=HYPERLINK("https://leilaoonline.com.br/lote/detalhe/148014", " CKS-ZIP-011-2022 - APROX. 29 ITENS - EIXO, ANEL, MANCAL E OUTROS - VEJA DESCRITIVO DE ITENS - LOC: CARAJAS - PARÁ")</f>
      </c>
      <c r="C111" s="4" t="inlineStr">
        <is>
          <t>Não vendido</t>
        </is>
      </c>
      <c r="D111" s="4" t="inlineStr">
        <is>
          <t>11</t>
        </is>
      </c>
      <c r="E111" s="5" t="inlineStr">
        <is>
          <t>2.500,00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=HYPERLINK("https://leilaoonline.com.br/lote/detalhe/148028", "1227")</f>
      </c>
      <c r="B112" s="4" t="s">
        <f>=HYPERLINK("https://leilaoonline.com.br/lote/detalhe/148028", " CKS-ZIP-012-2022 - APROX. 311 ITENS - ROLAMENTO ROLO CONICO, PORCA, ARRUELA E OUTROS - VEJA DESCRITIVO DE ITENS - LOC: CARAJAS - PARÁ")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=HYPERLINK("https://leilaoonline.com.br/lote/detalhe/148032", "1228")</f>
      </c>
      <c r="B113" s="4" t="s">
        <f>=HYPERLINK("https://leilaoonline.com.br/lote/detalhe/148032", " CKS-ZIP-013-2022 - APROX. 145 ITENS - CALCO, MANGUEIRA, LUVA E OUTROS - VEJA DESCRITIVO DE ITENS - LOC: CARAJAS - PARÁ")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=HYPERLINK("https://leilaoonline.com.br/lote/detalhe/148043", "1229")</f>
      </c>
      <c r="B114" s="4" t="s">
        <f>=HYPERLINK("https://leilaoonline.com.br/lote/detalhe/148043", " CPBS-010-2022- APROX. 47 LAMPADAS FLUORESCENTE, LOC. ITAGUAI - PORTO DE SEPETIBA")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=HYPERLINK("https://leilaoonline.com.br/lote/detalhe/148034", "1230")</f>
      </c>
      <c r="B115" s="4" t="s">
        <f>=HYPERLINK("https://leilaoonline.com.br/lote/detalhe/148034", " CPBS-011-2022 - APROX. 41 ITENS - SENSORES, MANCAIS, PARAFUSOS E OUTROS - VEJA DESCRITIVO DE ITENS - LOC. ITAGUAI - PORTO DE SEPETIBA")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600,00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=HYPERLINK("https://leilaoonline.com.br/lote/detalhe/148040", "1231")</f>
      </c>
      <c r="B116" s="4" t="s">
        <f>=HYPERLINK("https://leilaoonline.com.br/lote/detalhe/148040", " CPBS-012-2022 - APROX. 306 ITENS - FUSIVEL VIDRO, RETENTOR,E OUTROS - VEJA DESCRITIVO DE ITENS -  LOC.ITAGUAI - PORTO DE SEPETIBA 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=HYPERLINK("https://leilaoonline.com.br/lote/detalhe/148039", "1232")</f>
      </c>
      <c r="B117" s="4" t="s">
        <f>=HYPERLINK("https://leilaoonline.com.br/lote/detalhe/148039", " CPBS-014-2022- REFRIGERADOR VERTICAL COM 02 PORTAS EM AÇO INOX, PASS THROUGH 1400X800X2100 mm / Marca: STEEL / N° Serie 84182900- LOC.ITAGUAI - PORTO DE SEPETIBA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=HYPERLINK("https://leilaoonline.com.br/lote/detalhe/148035", "1233")</f>
      </c>
      <c r="B118" s="4" t="s">
        <f>=HYPERLINK("https://leilaoonline.com.br/lote/detalhe/148035", " CPBS-015-2022- CALDEIRA ALIMENTICIA FAB PPIENK 2011 / N° SERIE 84182900 / N° INVENTARIO EY02127 / MARCA STEEL / ANO FABRIC. 2012 - LOC. ITAGUAI - PORTO DE SEPETIBA")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=HYPERLINK("https://leilaoonline.com.br/lote/detalhe/148037", "1234")</f>
      </c>
      <c r="B119" s="4" t="s">
        <f>=HYPERLINK("https://leilaoonline.com.br/lote/detalhe/148037", " CPBS-016-2022- APROX.252 ITENS, PORCAS , FILTROS  E OUTROS - VEJA DESCRITIVO DE ITENS - LOC. ITAGUAI - PORTO DE SEPETIBA")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=HYPERLINK("https://leilaoonline.com.br/lote/detalhe/148042", "1235")</f>
      </c>
      <c r="B120" s="4" t="s">
        <f>=HYPERLINK("https://leilaoonline.com.br/lote/detalhe/148042", " FAB-122-2022- APROX. 318 ITENS, CHAPA , MANGUEIRAS, TUBO E OUTROS - VEJA DESCRITIVO DE ITENS - LOC. ITAGUAI - PORTO DE SEPETIBA")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=HYPERLINK("https://leilaoonline.com.br/lote/detalhe/148036", "1236")</f>
      </c>
      <c r="B121" s="4" t="s">
        <f>=HYPERLINK("https://leilaoonline.com.br/lote/detalhe/148036", " FAB-128-2022- 04 ITENS, AQUECEDOR, CHAPA E OUTROS - VEJA DESCRITIVO DE ITENS - LOC. Ouro Preto/MG")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=HYPERLINK("https://leilaoonline.com.br/lote/detalhe/148045", "1237")</f>
      </c>
      <c r="B122" s="4" t="s">
        <f>=HYPERLINK("https://leilaoonline.com.br/lote/detalhe/148045", " FAB-129-2022- APROX.672 ITENS, PLACAS, CORREIAS , ANEIS E OUTROS - VEJA DESCRITIVO DE ITENS - LOC. Ouro Preto/MG ")</f>
      </c>
      <c r="C122" s="4" t="inlineStr">
        <is>
          <t>Não vendido</t>
        </is>
      </c>
      <c r="D122" s="4" t="inlineStr">
        <is>
          <t>20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=HYPERLINK("https://leilaoonline.com.br/lote/detalhe/148038", "1238")</f>
      </c>
      <c r="B123" s="4" t="s">
        <f>=HYPERLINK("https://leilaoonline.com.br/lote/detalhe/148038", " FAB-130-2022 - APROX. 122 ITENS, MANGUEIRAS, BOBINA, MOTORES E OUTROS - VEJA DESCRITIVO DE ITENS - LOC. Ouro Preto/MG")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5.700,00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=HYPERLINK("https://leilaoonline.com.br/lote/detalhe/148044", "1239")</f>
      </c>
      <c r="B124" s="4" t="s">
        <f>=HYPERLINK("https://leilaoonline.com.br/lote/detalhe/148044", " FAB-131-2022- APROX. 147 ITENS, CJ. BOMBAS, ARRUELAS E OUTROS - VEJA DESCRITIVO DE ITENS - LOC.Ouro Preto/MG")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=HYPERLINK("https://leilaoonline.com.br/lote/detalhe/148041", "1240")</f>
      </c>
      <c r="B125" s="4" t="s">
        <f>=HYPERLINK("https://leilaoonline.com.br/lote/detalhe/148041", " FAB-132-2022 -APROX.196 ITENS, ANEIS, CHICOTES , BUCHAS  E OUTROS - VEJA DESCRITIVO DE ITENS - LOC.Ouro Preto/MG")</f>
      </c>
      <c r="C125" s="4" t="inlineStr">
        <is>
          <t>Não vendido</t>
        </is>
      </c>
      <c r="D125" s="4" t="inlineStr">
        <is>
          <t>3</t>
        </is>
      </c>
      <c r="E125" s="5" t="inlineStr">
        <is>
          <t>700,00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=HYPERLINK("https://leilaoonline.com.br/lote/detalhe/148046", "1241")</f>
      </c>
      <c r="B126" s="4" t="s">
        <f>=HYPERLINK("https://leilaoonline.com.br/lote/detalhe/148046", " FAB-133-2022- APROX. 199 ITENS, FILTROS, CHAPAS  E OUTROS - VEJA DESCRITIVO DE ITENS - LOC.Ouro Preto/MG")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2.100,00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=HYPERLINK("https://leilaoonline.com.br/lote/detalhe/148047", "1242")</f>
      </c>
      <c r="B127" s="4" t="s">
        <f>=HYPERLINK("https://leilaoonline.com.br/lote/detalhe/148047", " FAB-134-2022 - APROX. 131 ITENS, PLACAS, MOTORES E OUTROS - VEJA DESCRITIVO DE ITENS - LOC.Ouro Preto/MG")</f>
      </c>
      <c r="C127" s="4" t="inlineStr">
        <is>
          <t>Não vendido</t>
        </is>
      </c>
      <c r="D127" s="4" t="inlineStr">
        <is>
          <t>3</t>
        </is>
      </c>
      <c r="E127" s="5" t="inlineStr">
        <is>
          <t>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=HYPERLINK("https://leilaoonline.com.br/lote/detalhe/148048", "1243")</f>
      </c>
      <c r="B128" s="4" t="s">
        <f>=HYPERLINK("https://leilaoonline.com.br/lote/detalhe/148048", " FAB-135-2022- APROX. 179 ITENS, SENSORES, MANGUEIRAS  E OUTROS - VEJA DESCRITIVO DE ITENS - LOC.Ouro Preto/MG")</f>
      </c>
      <c r="C128" s="4" t="inlineStr">
        <is>
          <t>Não vendido</t>
        </is>
      </c>
      <c r="D128" s="4" t="inlineStr">
        <is>
          <t>31</t>
        </is>
      </c>
      <c r="E128" s="5" t="inlineStr">
        <is>
          <t>5.300,00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=HYPERLINK("https://leilaoonline.com.br/lote/detalhe/148055", "1244")</f>
      </c>
      <c r="B129" s="4" t="s">
        <f>=HYPERLINK("https://leilaoonline.com.br/lote/detalhe/148055", " FAB-136-2022- APROX. 203 ITENS, LIMPADOR, PARAFUSOS E OUTROS - VEJA DESCRITIVO DE ITENS - LOC.Ouro Preto/MG")</f>
      </c>
      <c r="C129" s="4" t="inlineStr">
        <is>
          <t>Não vendido</t>
        </is>
      </c>
      <c r="D129" s="4" t="inlineStr">
        <is>
          <t>3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=HYPERLINK("https://leilaoonline.com.br/lote/detalhe/148058", "1245")</f>
      </c>
      <c r="B130" s="4" t="s">
        <f>=HYPERLINK("https://leilaoonline.com.br/lote/detalhe/148058", " FAB-137-2022- APROX. 78 ITENS, FILTROS, VALVULAS  E OUTROS - VEJA DESCRITIVO DE ITENS - LOC.Ouro Preto/MG")</f>
      </c>
      <c r="C130" s="4" t="inlineStr">
        <is>
          <t>Não vendido</t>
        </is>
      </c>
      <c r="D130" s="4" t="inlineStr">
        <is>
          <t>7</t>
        </is>
      </c>
      <c r="E130" s="5" t="inlineStr">
        <is>
          <t>1.100,00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=HYPERLINK("https://leilaoonline.com.br/lote/detalhe/148052", "1246")</f>
      </c>
      <c r="B131" s="4" t="s">
        <f>=HYPERLINK("https://leilaoonline.com.br/lote/detalhe/148052", " FAB-138-2022- APROX. 94 ITENS, PARAFUSOS, MANCAIS  E OUTROS - VEJA DESCRITIVO DE ITENS - LOC.Ouro Preto/MG")</f>
      </c>
      <c r="C131" s="4" t="inlineStr">
        <is>
          <t>Não vendido</t>
        </is>
      </c>
      <c r="D131" s="4" t="inlineStr">
        <is>
          <t>9</t>
        </is>
      </c>
      <c r="E131" s="5" t="inlineStr">
        <is>
          <t>2.100,00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=HYPERLINK("https://leilaoonline.com.br/lote/detalhe/148060", "1247")</f>
      </c>
      <c r="B132" s="4" t="s">
        <f>=HYPERLINK("https://leilaoonline.com.br/lote/detalhe/148060", " FAB-139-2022- APROX. 259 ITENS, MANGUEIRAS, ARRUELAS  E OUTROS - VEJA DESCRITIVO DE ITENS - LOC.Ouro Preto/MG")</f>
      </c>
      <c r="C132" s="4" t="inlineStr">
        <is>
          <t>Não vendido</t>
        </is>
      </c>
      <c r="D132" s="4" t="inlineStr">
        <is>
          <t>8</t>
        </is>
      </c>
      <c r="E132" s="5" t="inlineStr">
        <is>
          <t>1.300,00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=HYPERLINK("https://leilaoonline.com.br/lote/detalhe/148053", "1248")</f>
      </c>
      <c r="B133" s="4" t="s">
        <f>=HYPERLINK("https://leilaoonline.com.br/lote/detalhe/148053", " FAB-140-2022- APROX. 259 ITENS, MANGUEIRAS, ARRUELAS  E OUTROS - VEJA DESCRITIVO DE ITENS - LOC.Ouro Preto/MG")</f>
      </c>
      <c r="C133" s="4" t="inlineStr">
        <is>
          <t>Não vendido</t>
        </is>
      </c>
      <c r="D133" s="4" t="inlineStr">
        <is>
          <t>4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=HYPERLINK("https://leilaoonline.com.br/lote/detalhe/148049", "1249")</f>
      </c>
      <c r="B134" s="4" t="s">
        <f>=HYPERLINK("https://leilaoonline.com.br/lote/detalhe/148049", " FAB-141-2022- APROX. 194 ITENS, VALVULAS, ARRUELAS  E OUTROS - VEJA DESCRITIVO DE ITENS - LOC.Ouro Preto/MG")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=HYPERLINK("https://leilaoonline.com.br/lote/detalhe/148050", "1250")</f>
      </c>
      <c r="B135" s="4" t="s">
        <f>=HYPERLINK("https://leilaoonline.com.br/lote/detalhe/148050", " FAB-142-2022- APROX. 417 ITENS, PARAFUSOS, FILTROS  E OUTROS - VEJA DESCRITIVO DE ITENS - LOC.Ouro Preto/MG")</f>
      </c>
      <c r="C135" s="4" t="inlineStr">
        <is>
          <t>Não vendido</t>
        </is>
      </c>
      <c r="D135" s="4" t="inlineStr">
        <is>
          <t>10</t>
        </is>
      </c>
      <c r="E135" s="5" t="inlineStr">
        <is>
          <t>1.700,00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=HYPERLINK("https://leilaoonline.com.br/lote/detalhe/148054", "1251")</f>
      </c>
      <c r="B136" s="4" t="s">
        <f>=HYPERLINK("https://leilaoonline.com.br/lote/detalhe/148054", " FAB-143-2022- APROX. 458 ITENS, MANGUEIRAS, PROTETORES  E OUTROS - VEJA DESCRITIVO DE ITENS - LOC.Ouro Preto/MG")</f>
      </c>
      <c r="C136" s="4" t="inlineStr">
        <is>
          <t>Não vendido</t>
        </is>
      </c>
      <c r="D136" s="4" t="inlineStr">
        <is>
          <t>11</t>
        </is>
      </c>
      <c r="E136" s="5" t="inlineStr">
        <is>
          <t>4.100,00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=HYPERLINK("https://leilaoonline.com.br/lote/detalhe/148059", "1252")</f>
      </c>
      <c r="B137" s="4" t="s">
        <f>=HYPERLINK("https://leilaoonline.com.br/lote/detalhe/148059", " FAB-144-2022- APROX. 379 ITENS, COTOVELOS, ROLAMENTOS  E OUTROS - VEJA DESCRITIVO DE ITENS - LOC.Ouro Preto/MG")</f>
      </c>
      <c r="C137" s="4" t="inlineStr">
        <is>
          <t>Vendido</t>
        </is>
      </c>
      <c r="D137" s="4" t="inlineStr">
        <is>
          <t>66</t>
        </is>
      </c>
      <c r="E137" s="5" t="inlineStr">
        <is>
          <t>66.000,00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=HYPERLINK("https://leilaoonline.com.br/lote/detalhe/148051", "1253")</f>
      </c>
      <c r="B138" s="4" t="s">
        <f>=HYPERLINK("https://leilaoonline.com.br/lote/detalhe/148051", " FAB-145-2022- APROX. 205 ITENS, FILTROS, MANCAIS  E OUTROS - VEJA DESCRITIVO DE ITENS - LOC.Ouro Preto/MG")</f>
      </c>
      <c r="C138" s="4" t="inlineStr">
        <is>
          <t>Não vendido</t>
        </is>
      </c>
      <c r="D138" s="4" t="inlineStr">
        <is>
          <t>8</t>
        </is>
      </c>
      <c r="E138" s="5" t="inlineStr">
        <is>
          <t>2.750,00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=HYPERLINK("https://leilaoonline.com.br/lote/detalhe/148056", "1254")</f>
      </c>
      <c r="B139" s="4" t="s">
        <f>=HYPERLINK("https://leilaoonline.com.br/lote/detalhe/148056", " FAB-146-2022- APROX. 244 ITENS, ADAPTADORES, ROLETES  E OUTROS - VEJA DESCRITIVO DE ITENS - LOC.Ouro Preto/MG")</f>
      </c>
      <c r="C139" s="4" t="inlineStr">
        <is>
          <t>Não vendido</t>
        </is>
      </c>
      <c r="D139" s="4" t="inlineStr">
        <is>
          <t>62</t>
        </is>
      </c>
      <c r="E139" s="5" t="inlineStr">
        <is>
          <t>26.250,00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=HYPERLINK("https://leilaoonline.com.br/lote/detalhe/148057", "1255")</f>
      </c>
      <c r="B140" s="4" t="s">
        <f>=HYPERLINK("https://leilaoonline.com.br/lote/detalhe/148057", " FAB-147-2022- APROX. 202 ITENS, FILTROS, PARAFUSOS  E OUTROS - VEJA DESCRITIVO DE ITENS - LOC.Ouro Preto/MG")</f>
      </c>
      <c r="C140" s="4" t="inlineStr">
        <is>
          <t>Não vendido</t>
        </is>
      </c>
      <c r="D140" s="4" t="inlineStr">
        <is>
          <t>29</t>
        </is>
      </c>
      <c r="E140" s="5" t="inlineStr">
        <is>
          <t>22.000,00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=HYPERLINK("https://leilaoonline.com.br/lote/detalhe/148061", "1256")</f>
      </c>
      <c r="B141" s="4" t="s">
        <f>=HYPERLINK("https://leilaoonline.com.br/lote/detalhe/148061", " FAB-148-2022- APROX. 240 ITENS, ROLAMENTOS,ANEIS  E OUTROS - VEJA DESCRITIVO DE ITENS - LOC.Ouro Preto/MG")</f>
      </c>
      <c r="C141" s="4" t="inlineStr">
        <is>
          <t>Vendido</t>
        </is>
      </c>
      <c r="D141" s="4" t="inlineStr">
        <is>
          <t>129</t>
        </is>
      </c>
      <c r="E141" s="5" t="inlineStr">
        <is>
          <t>108.500,00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=HYPERLINK("https://leilaoonline.com.br/lote/detalhe/150512", "1258")</f>
      </c>
      <c r="B142" s="4" t="s">
        <f>=HYPERLINK("https://leilaoonline.com.br/lote/detalhe/150512", " S11D-013-2022-MRO- APROX. 27 ITENS, TELA PEN NAO MET 350MM 2783T/H, E OUTROS, VEJA DESCRITIVO DE ITENS, LOC.CANAÃ DOS CARAJAS/PA")</f>
      </c>
      <c r="C142" s="4" t="inlineStr">
        <is>
          <t>Vendido</t>
        </is>
      </c>
      <c r="D142" s="4" t="inlineStr">
        <is>
          <t>23</t>
        </is>
      </c>
      <c r="E142" s="5" t="inlineStr">
        <is>
          <t>26.297,00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=HYPERLINK("https://leilaoonline.com.br/lote/detalhe/148066", "1259")</f>
      </c>
      <c r="B143" s="4" t="s">
        <f>=HYPERLINK("https://leilaoonline.com.br/lote/detalhe/148066", " SFH-024-2022 - APROX. 104 TELAS METALICAS DIVERSOS. - VEJA DESCRITIVO DE ITENS - LOC. SIMÕES FILHO/BA")</f>
      </c>
      <c r="C143" s="4" t="inlineStr">
        <is>
          <t>Não vendido</t>
        </is>
      </c>
      <c r="D143" s="4" t="inlineStr">
        <is>
          <t>10</t>
        </is>
      </c>
      <c r="E143" s="5" t="inlineStr">
        <is>
          <t>17.000,00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=HYPERLINK("https://leilaoonline.com.br/lote/detalhe/148065", "1260")</f>
      </c>
      <c r="B144" s="4" t="s">
        <f>=HYPERLINK("https://leilaoonline.com.br/lote/detalhe/148065", " SFH-029-2022 - 02 ANEIS VED AI A351 CF3 0,375POL, 01 ANEL AR 142.135 DESENHO VALE,  LOC. Simões Filho / Bahia")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2.300,00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=HYPERLINK("https://leilaoonline.com.br/lote/detalhe/148063", "1263")</f>
      </c>
      <c r="B145" s="4" t="s">
        <f>=HYPERLINK("https://leilaoonline.com.br/lote/detalhe/148063", " SFH-032-2022 - APROX. 10.301 ITENS, FILTROS, MANGAS E OUTROS - VEJA DESCRITIVO DE ITENS - LOC. Simões Filho / Bahia")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600,00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=HYPERLINK("https://leilaoonline.com.br/lote/detalhe/148064", "1264")</f>
      </c>
      <c r="B146" s="4" t="s">
        <f>=HYPERLINK("https://leilaoonline.com.br/lote/detalhe/148064", " SFH-033-2022 - APROX. 106 ITENS, FILTROS DIVERSOS,  VEJA DESCRITIVO DE ITENS - LOC. Simões Filho / Bahia")</f>
      </c>
      <c r="C146" s="4" t="inlineStr">
        <is>
          <t>Não vendido</t>
        </is>
      </c>
      <c r="D146" s="4" t="inlineStr">
        <is>
          <t>2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=HYPERLINK("https://leilaoonline.com.br/lote/detalhe/148067", "1266")</f>
      </c>
      <c r="B147" s="4" t="s">
        <f>=HYPERLINK("https://leilaoonline.com.br/lote/detalhe/148067", " SIS-006-2022 - APROX. 40 LONGARINAS 3 LUGARES COM ASSENTO/ENCOSTO EM POLIP, LOC. Santa Inês/ MA")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=HYPERLINK("https://leilaoonline.com.br/lote/detalhe/148062", "1267")</f>
      </c>
      <c r="B148" s="4" t="s">
        <f>=HYPERLINK("https://leilaoonline.com.br/lote/detalhe/148062", " SIS-007-2022 - APROX. 40 LONGARINAS 3 LUGARES COM ASSENTO/ENCOSTO EM POLIP , LOC. Santa Inês/ MA")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=HYPERLINK("https://leilaoonline.com.br/lote/detalhe/150518", "1268")</f>
      </c>
      <c r="B149" s="4" t="s">
        <f>=HYPERLINK("https://leilaoonline.com.br/lote/detalhe/150518", " SLB-017-2022 - APROX. 08 ITENS.  - ALINHADOR A LASER, NOTEBOOK E OUTROS, VEJA DESCRITIVO DE ITENS, LOC.MARABÁ/ PARÁ 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1.900,00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=HYPERLINK("https://leilaoonline.com.br/lote/detalhe/148069", "1269")</f>
      </c>
      <c r="B150" s="4" t="s">
        <f>=HYPERLINK("https://leilaoonline.com.br/lote/detalhe/148069", " SLB-023-2022 - APROX. 27 ITENS. ESTUFA DE SECAGEM DE VIDRARIA FR 6009-08, TROCADOR DE CALOR, MISTURADOR E OUTROS VEJA DESCRITIVO DE ITENS, LOC.MARABÁ/ PARÁ 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=HYPERLINK("https://leilaoonline.com.br/lote/detalhe/150519", "1272")</f>
      </c>
      <c r="B151" s="4" t="s">
        <f>=HYPERLINK("https://leilaoonline.com.br/lote/detalhe/150519", " SLB-031-2022- 02 BALANÇAS ANALITICAS AG 200 E 320G, LOC.MARABÁ/ PARÁ")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=HYPERLINK("https://leilaoonline.com.br/lote/detalhe/148070", "1273")</f>
      </c>
      <c r="B152" s="4" t="s">
        <f>=HYPERLINK("https://leilaoonline.com.br/lote/detalhe/148070", " SLB-032-2022- APROX. 1690 ITENS, BOMBAS, ANEIS, E OUTROS  VEJA DESCRITIVO DE ITENS, LOC.MARABÁ/ PARÁ ")</f>
      </c>
      <c r="C152" s="4" t="inlineStr">
        <is>
          <t>Não vendido</t>
        </is>
      </c>
      <c r="D152" s="4" t="inlineStr">
        <is>
          <t>36</t>
        </is>
      </c>
      <c r="E152" s="5" t="inlineStr">
        <is>
          <t>11.750,00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=HYPERLINK("https://leilaoonline.com.br/lote/detalhe/148068", "1274")</f>
      </c>
      <c r="B153" s="4" t="s">
        <f>=HYPERLINK("https://leilaoonline.com.br/lote/detalhe/148068", " SLB-039-2022- APROX. 1492 MTS CORREIA TRANS 8MM 8MM 1925MM 500M, LOC.MARABÁ/ PARÁ ")</f>
      </c>
      <c r="C153" s="4" t="inlineStr">
        <is>
          <t>Não vendido</t>
        </is>
      </c>
      <c r="D153" s="4" t="inlineStr">
        <is>
          <t>14</t>
        </is>
      </c>
      <c r="E153" s="5" t="inlineStr">
        <is>
          <t>36.500,00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=HYPERLINK("https://leilaoonline.com.br/lote/detalhe/148071", "1275")</f>
      </c>
      <c r="B154" s="4" t="s">
        <f>=HYPERLINK("https://leilaoonline.com.br/lote/detalhe/148071", " SLB-040-2022- APROX. 1492 MTS, CORREIA TRANS 8MM 8MM 1925MM 500M LOC.MARABÁ/ PARÁ ")</f>
      </c>
      <c r="C154" s="4" t="inlineStr">
        <is>
          <t>Não vendido</t>
        </is>
      </c>
      <c r="D154" s="4" t="inlineStr">
        <is>
          <t>56</t>
        </is>
      </c>
      <c r="E154" s="5" t="inlineStr">
        <is>
          <t>83.500,00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=HYPERLINK("https://leilaoonline.com.br/lote/detalhe/150513", "1287")</f>
      </c>
      <c r="B155" s="4" t="s">
        <f>=HYPERLINK("https://leilaoonline.com.br/lote/detalhe/150513", " ITA-005-2022 - APROX. 151 ITENS. - LUVA 1078719 CATERPILLAR, BOMBA OLEO 1614113 CATERPILLAR; E OUTROS, VEJA DSCRITIVO DE ITENS. - LOC. ITABIRA/MG")</f>
      </c>
      <c r="C155" s="4" t="inlineStr">
        <is>
          <t>Vendido</t>
        </is>
      </c>
      <c r="D155" s="4" t="inlineStr">
        <is>
          <t>6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=HYPERLINK("https://leilaoonline.com.br/lote/detalhe/148077", "1289")</f>
      </c>
      <c r="B156" s="4" t="s">
        <f>=HYPERLINK("https://leilaoonline.com.br/lote/detalhe/148077", " ITA-040-2022 - APROX. 43 ITENS. - RADIADOR RH200, PARAFUSO 101062040 KOMATSU, KIT REPARO 1722753 SCANIA; E OUTROS, VEJA DESCRITIVO DE ITENS. - LOC. ITABIRA/MG")</f>
      </c>
      <c r="C156" s="4" t="inlineStr">
        <is>
          <t>Não vendido</t>
        </is>
      </c>
      <c r="D156" s="4" t="inlineStr">
        <is>
          <t>5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=HYPERLINK("https://leilaoonline.com.br/lote/detalhe/148072", "1290")</f>
      </c>
      <c r="B157" s="4" t="s">
        <f>=HYPERLINK("https://leilaoonline.com.br/lote/detalhe/148072", " ITA-042-2022 - APROX. 514 ITENS. - PINO 5049084 CATERPILLAR, CAPACITOR 90131640 KOMATSU; E OOUTROS, VEJA DESCRITIVO DE ITENS. - LOC. ITABIRA/MG")</f>
      </c>
      <c r="C157" s="4" t="inlineStr">
        <is>
          <t>Não vendido</t>
        </is>
      </c>
      <c r="D157" s="4" t="inlineStr">
        <is>
          <t>7</t>
        </is>
      </c>
      <c r="E157" s="5" t="inlineStr">
        <is>
          <t>4.500,00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=HYPERLINK("https://leilaoonline.com.br/lote/detalhe/148073", "1291")</f>
      </c>
      <c r="B158" s="4" t="s">
        <f>=HYPERLINK("https://leilaoonline.com.br/lote/detalhe/148073", " ITA-044-2022 - APROX. 79 ITENS. - JUNTA 4T7992 CATERPILLAR, MANGUEIRA 3242751 CATERPILLAR, MANGUEIRA 1623307 CAT. E OUTROS, VEJA DESCRITIVO DE ITENS. - LOC. ITABIRA/MG")</f>
      </c>
      <c r="C158" s="4" t="inlineStr">
        <is>
          <t>Não vendido</t>
        </is>
      </c>
      <c r="D158" s="4" t="inlineStr">
        <is>
          <t>4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=HYPERLINK("https://leilaoonline.com.br/lote/detalhe/148075", "1292")</f>
      </c>
      <c r="B159" s="4" t="s">
        <f>=HYPERLINK("https://leilaoonline.com.br/lote/detalhe/148075", " ITA-045-2022 - APROX. 1180 ITENS. - BUCHA LU0894 LUFER, MANCAL 9R1107 CATERPILLAR, MANGUEIRA 6240-11-8312 KOMATSU, E OUTROS, VEJA DESCRITIVO DE ITENS. - LOC. ITABIRA/MG")</f>
      </c>
      <c r="C159" s="4" t="inlineStr">
        <is>
          <t>Não vendido</t>
        </is>
      </c>
      <c r="D159" s="4" t="inlineStr">
        <is>
          <t>4</t>
        </is>
      </c>
      <c r="E159" s="5" t="inlineStr">
        <is>
          <t>2.700,00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=HYPERLINK("https://leilaoonline.com.br/lote/detalhe/148074", "1294")</f>
      </c>
      <c r="B160" s="4" t="s">
        <f>=HYPERLINK("https://leilaoonline.com.br/lote/detalhe/148074", " ITA-053-2022 - 2 AR CONDICIONADOS E 1 CIRCULADOR DE AR. - LOC. ITABIRA/MG")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=HYPERLINK("https://leilaoonline.com.br/lote/detalhe/148076", "1299")</f>
      </c>
      <c r="B161" s="4" t="s">
        <f>=HYPERLINK("https://leilaoonline.com.br/lote/detalhe/148076", " ITA-065-2022 - APROX. 8 ITENS. - COMPRESSOR DE AR SCHULZ, FURAD.ELET. KONE, CALANDRA AGA; E OUTROS, VEJA DESCRITIVO DE ITENS. - LOC ITABIRA/MG")</f>
      </c>
      <c r="C161" s="4" t="inlineStr">
        <is>
          <t>Não vendido</t>
        </is>
      </c>
      <c r="D161" s="4" t="inlineStr">
        <is>
          <t>48</t>
        </is>
      </c>
      <c r="E161" s="5" t="inlineStr">
        <is>
          <t>55.000,00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=HYPERLINK("https://leilaoonline.com.br/lote/detalhe/148092", "1300")</f>
      </c>
      <c r="B162" s="4" t="s">
        <f>=HYPERLINK("https://leilaoonline.com.br/lote/detalhe/148092", " MRB-EQ-014-2022 - 11 LONGARINAS DE 3 LUGARES COM ASSENTO/ENCOSTO EM POLIP. - LOC. MARABÁ/PA")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=HYPERLINK("https://leilaoonline.com.br/lote/detalhe/148090", "1301")</f>
      </c>
      <c r="B163" s="4" t="s">
        <f>=HYPERLINK("https://leilaoonline.com.br/lote/detalhe/148090", " MRB-MRO-006-2022 -  APROX. 119 ITENS. - MOL S1000544 BAUMA, GUARNICAO I26964 PLASSER, FAROL AUXILIAR 38M FORTLUZ. - E OUTROS, VEJA DESCRITIVO DE ITENS - LOC. MARABÁ/PA")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=HYPERLINK("https://leilaoonline.com.br/lote/detalhe/148093", "1302")</f>
      </c>
      <c r="B164" s="4" t="s">
        <f>=HYPERLINK("https://leilaoonline.com.br/lote/detalhe/148093", " MRB-MRO-007-2022 - APROX. 1292 ITENS. - SENSOR PROX EL-T7105 PLASSER, CORREIA 7E6158 CATERPILLAR. - E OUTROS, VEJA DESCRITIVO DE ITENS - LOC. MARABÁ/PA")</f>
      </c>
      <c r="C164" s="4" t="inlineStr">
        <is>
          <t>Não vendido</t>
        </is>
      </c>
      <c r="D164" s="4" t="inlineStr">
        <is>
          <t>63</t>
        </is>
      </c>
      <c r="E164" s="5" t="inlineStr">
        <is>
          <t>21.000,00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=HYPERLINK("https://leilaoonline.com.br/lote/detalhe/148091", "1303")</f>
      </c>
      <c r="B165" s="4" t="s">
        <f>=HYPERLINK("https://leilaoonline.com.br/lote/detalhe/148091", " MUT-045-2022 - APROX. 475 ITENS. - CONEX 1242109 CATERPILLAR, SENSOR NIVEL, BLOCO DA VALVULA; E OUTROS VEJA DESCRITIVO DE ITENS.- LOC. NOVA LIMA/MG")</f>
      </c>
      <c r="C165" s="4" t="inlineStr">
        <is>
          <t>Não vendido</t>
        </is>
      </c>
      <c r="D165" s="4" t="inlineStr">
        <is>
          <t>23</t>
        </is>
      </c>
      <c r="E165" s="5" t="inlineStr">
        <is>
          <t>5.100,00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=HYPERLINK("https://leilaoonline.com.br/lote/detalhe/148086", "1304")</f>
      </c>
      <c r="B166" s="4" t="s">
        <f>=HYPERLINK("https://leilaoonline.com.br/lote/detalhe/148086", " MUT-046-2022 - APROX. 304 ITENS. - PARAFUSO 2N5006 CATERPILLAR, RETENTOR VED FKM, ABRACAD 2094578 CAT; E OUTROS, VEJA DESCRITIVO DE ITENS - LOC. NOVA LIMA/MG")</f>
      </c>
      <c r="C166" s="4" t="inlineStr">
        <is>
          <t>Não vendido</t>
        </is>
      </c>
      <c r="D166" s="4" t="inlineStr">
        <is>
          <t>12</t>
        </is>
      </c>
      <c r="E166" s="5" t="inlineStr">
        <is>
          <t>2.700,00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=HYPERLINK("https://leilaoonline.com.br/lote/detalhe/148089", "1305")</f>
      </c>
      <c r="B167" s="4" t="s">
        <f>=HYPERLINK("https://leilaoonline.com.br/lote/detalhe/148089", " MUT-048-2022 - 3 MESAS IMPACTO DE ROLOS 48POL, 4 MESA IMPACTO DE ROLOS 30POL. - LOC. NOVA LIMA/MG")</f>
      </c>
      <c r="C167" s="4" t="inlineStr">
        <is>
          <t>Não vendido</t>
        </is>
      </c>
      <c r="D167" s="4" t="inlineStr">
        <is>
          <t>13</t>
        </is>
      </c>
      <c r="E167" s="5" t="inlineStr">
        <is>
          <t>3.500,00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=HYPERLINK("https://leilaoonline.com.br/lote/detalhe/148081", "1306")</f>
      </c>
      <c r="B168" s="4" t="s">
        <f>=HYPERLINK("https://leilaoonline.com.br/lote/detalhe/148081", " MUT-049-2022 - APROX. 27 ITENS. - COROA GIRATORIA, GRADE DE GRELHA, CAMISA DE CILINDRO; E OUTROS, VEJA DESCRITIVO DE ITENS - NOVA LIMA/MG")</f>
      </c>
      <c r="C168" s="4" t="inlineStr">
        <is>
          <t>Não vendido</t>
        </is>
      </c>
      <c r="D168" s="4" t="inlineStr">
        <is>
          <t>8</t>
        </is>
      </c>
      <c r="E168" s="5" t="inlineStr">
        <is>
          <t>4.750,00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=HYPERLINK("https://leilaoonline.com.br/lote/detalhe/148078", "1307")</f>
      </c>
      <c r="B169" s="4" t="s">
        <f>=HYPERLINK("https://leilaoonline.com.br/lote/detalhe/148078", " MUT-050-2022 - APROX. 16 ITENS. - PINO CROMADO (LIE_S), KIT DE MANUTENÇÃO 2000H, MOLA DE COMPRESSÃO; E OUTROS, VEJA DESCRITIVO DE ITENS - LOC. NOVA LIMA/MG")</f>
      </c>
      <c r="C169" s="4" t="inlineStr">
        <is>
          <t>Não vendido</t>
        </is>
      </c>
      <c r="D169" s="4" t="inlineStr">
        <is>
          <t>8</t>
        </is>
      </c>
      <c r="E169" s="5" t="inlineStr">
        <is>
          <t>1.600,00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=HYPERLINK("https://leilaoonline.com.br/lote/detalhe/148080", "1308")</f>
      </c>
      <c r="B170" s="4" t="s">
        <f>=HYPERLINK("https://leilaoonline.com.br/lote/detalhe/148080", " MUT-051-2022 - APROX. 145 ITENS. - FILTRO 8X4575 CATERPILLAR, FILTRO 11356726 LIEBHERR; E OUTROS, VEJA DESCRITIVO DE ITENS. -LOC. NOVA LIMA/MG")</f>
      </c>
      <c r="C170" s="4" t="inlineStr">
        <is>
          <t>Não vendido</t>
        </is>
      </c>
      <c r="D170" s="4" t="inlineStr">
        <is>
          <t>31</t>
        </is>
      </c>
      <c r="E170" s="5" t="inlineStr">
        <is>
          <t>4.200,00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=HYPERLINK("https://leilaoonline.com.br/lote/detalhe/148088", "1309")</f>
      </c>
      <c r="B171" s="4" t="s">
        <f>=HYPERLINK("https://leilaoonline.com.br/lote/detalhe/148088", " MUT-052-2022 - APROX. 203 ITENS. - JUNTA VED 1497061 SCANIA, ANEL 14.00X1.78, PARAFUSO M16X50; E OUTROS, VEJA DESCRITIVO DE ITENS. - LOC. NOVA LIMA/MG")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=HYPERLINK("https://leilaoonline.com.br/lote/detalhe/148082", "1310")</f>
      </c>
      <c r="B172" s="4" t="s">
        <f>=HYPERLINK("https://leilaoonline.com.br/lote/detalhe/148082", " MUT-053-2022 - APROX. 154 ITENS. - ANEL 99,1X5,7  STD 535, RESPIRO 9T1119 CATERPILLAR, ACOPLAMENTO. E OUTROS, VEJA DESCRITIVO DE ITENS - LOC. NOVA LIMA/MG")</f>
      </c>
      <c r="C172" s="4" t="inlineStr">
        <is>
          <t>Não vendido</t>
        </is>
      </c>
      <c r="D172" s="4" t="inlineStr">
        <is>
          <t>9</t>
        </is>
      </c>
      <c r="E172" s="5" t="inlineStr">
        <is>
          <t>1.300,00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=HYPERLINK("https://leilaoonline.com.br/lote/detalhe/148085", "1311")</f>
      </c>
      <c r="B173" s="4" t="s">
        <f>=HYPERLINK("https://leilaoonline.com.br/lote/detalhe/148085", " MUT-054-2022 - APROX. 194 ITENS. - ANEL 1T1356 CATERPILLAR, GAXETA BORR, ANEL TRAVA SB 143. E OUTROS VEJA DESCRITIVO DE ITENS - LOC. NOVA LIMA/MG")</f>
      </c>
      <c r="C173" s="4" t="inlineStr">
        <is>
          <t>Não vendido</t>
        </is>
      </c>
      <c r="D173" s="4" t="inlineStr">
        <is>
          <t>7</t>
        </is>
      </c>
      <c r="E173" s="5" t="inlineStr">
        <is>
          <t>1.100,00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=HYPERLINK("https://leilaoonline.com.br/lote/detalhe/148087", "1312")</f>
      </c>
      <c r="B174" s="4" t="s">
        <f>=HYPERLINK("https://leilaoonline.com.br/lote/detalhe/148087", " MUT-055-2022 - APROX. 166 ITENS. - ARRUELA 1528185 ITAIPU, KIT VEDAÇÃO, PARAFUSO 20MM.E OUTROS VEJA DESCRITIVO DE ITENS - LOC. NOVA LIMA/MG")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=HYPERLINK("https://leilaoonline.com.br/lote/detalhe/148083", "1313")</f>
      </c>
      <c r="B175" s="4" t="s">
        <f>=HYPERLINK("https://leilaoonline.com.br/lote/detalhe/148083", " MUT-056-2022 - APROX. 253 ITENS. - FAROL 2196485 CATERPILLAR, BUCHA OLHAL, VALVULA SOLENOIDE; E OUTROS, VEJA DESCRITVO DE ITENS. -LOC. NOVA LIMA/MG")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700,00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=HYPERLINK("https://leilaoonline.com.br/lote/detalhe/148079", "1315")</f>
      </c>
      <c r="B176" s="4" t="s">
        <f>=HYPERLINK("https://leilaoonline.com.br/lote/detalhe/148079", " MUT-058-2022 - APROX. 21 ITENS. - RADIADOR 2302825 CATERPILLAR, CILINDRO 3612862 CATERPILLAR; E OUTROS, VEJA DESCRITVO DE ITENS. - LOC. NOVA LIMA/MG")</f>
      </c>
      <c r="C176" s="4" t="inlineStr">
        <is>
          <t>Não vendido</t>
        </is>
      </c>
      <c r="D176" s="4" t="inlineStr">
        <is>
          <t>6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=HYPERLINK("https://leilaoonline.com.br/lote/detalhe/148084", "1316")</f>
      </c>
      <c r="B177" s="4" t="s">
        <f>=HYPERLINK("https://leilaoonline.com.br/lote/detalhe/148084", " MUT-059-2022 - APROX. 155 ITENS. - SEGMENTO D6, WC265 - SV2 WEARCAP, ELO 7T0716 CATERPILLAR; E OUTROS, VEJA DESCRITIVO DE ITENS. -LOC. NOVA LIMA/MG")</f>
      </c>
      <c r="C177" s="4" t="inlineStr">
        <is>
          <t>Não vendido</t>
        </is>
      </c>
      <c r="D177" s="4" t="inlineStr">
        <is>
          <t>19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=HYPERLINK("https://leilaoonline.com.br/lote/detalhe/148100", "1318")</f>
      </c>
      <c r="B178" s="4" t="s">
        <f>=HYPERLINK("https://leilaoonline.com.br/lote/detalhe/148100", " FAB-149-2022- APROX. 148 ITENS, MANGUEIRAS, BUCHAS  E OUTROS - VEJA DESCRITIVO DE ITENS - LOC.Ouro Preto/MG")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900,00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=HYPERLINK("https://leilaoonline.com.br/lote/detalhe/148098", "1319")</f>
      </c>
      <c r="B179" s="4" t="s">
        <f>=HYPERLINK("https://leilaoonline.com.br/lote/detalhe/148098", " FAB-150-2022- APROX. 133 ITENS, ROLAMENTOS, ROLOS  E OUTROS - VEJA DESCRITIVO DE ITENS - LOC.Ouro Preto/MG")</f>
      </c>
      <c r="C179" s="4" t="inlineStr">
        <is>
          <t>Não vendido</t>
        </is>
      </c>
      <c r="D179" s="4" t="inlineStr">
        <is>
          <t>39</t>
        </is>
      </c>
      <c r="E179" s="5" t="inlineStr">
        <is>
          <t>40.500,00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=HYPERLINK("https://leilaoonline.com.br/lote/detalhe/148095", "1320")</f>
      </c>
      <c r="B180" s="4" t="s">
        <f>=HYPERLINK("https://leilaoonline.com.br/lote/detalhe/148095", " FAB-151-2022- APROX. 281 ITENS, VALVULAS, CABOS  E OUTROS - VEJA DESCRITIVO DE ITENS - LOC.Ouro Preto/MG")</f>
      </c>
      <c r="C180" s="4" t="inlineStr">
        <is>
          <t>Não vendido</t>
        </is>
      </c>
      <c r="D180" s="4" t="inlineStr">
        <is>
          <t>33</t>
        </is>
      </c>
      <c r="E180" s="5" t="inlineStr">
        <is>
          <t>18.000,00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=HYPERLINK("https://leilaoonline.com.br/lote/detalhe/148102", "1322")</f>
      </c>
      <c r="B181" s="4" t="s">
        <f>=HYPERLINK("https://leilaoonline.com.br/lote/detalhe/148102", " OIA-020-2022 - APROX. 1.108 ITENS, BUCHAS , ROLAMENTOS  E OUTROS - VEJA DESCRITIVO DE ITENS- Ourilândia do Norte - PA")</f>
      </c>
      <c r="C181" s="4" t="inlineStr">
        <is>
          <t>Não vendido</t>
        </is>
      </c>
      <c r="D181" s="4" t="inlineStr">
        <is>
          <t>25</t>
        </is>
      </c>
      <c r="E181" s="5" t="inlineStr">
        <is>
          <t>9.000,00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=HYPERLINK("https://leilaoonline.com.br/lote/detalhe/148097", "1324")</f>
      </c>
      <c r="B182" s="4" t="s">
        <f>=HYPERLINK("https://leilaoonline.com.br/lote/detalhe/148097", " OIA-030-2022 - APROX. 137 ITENS, CAPAS, VALVULAS  E OUTROS - VEJA DESCRITIVO DE ITENS- Ourilândia do Norte - PA")</f>
      </c>
      <c r="C182" s="4" t="inlineStr">
        <is>
          <t>Não vendido</t>
        </is>
      </c>
      <c r="D182" s="4" t="inlineStr">
        <is>
          <t>9</t>
        </is>
      </c>
      <c r="E182" s="5" t="inlineStr">
        <is>
          <t>1.400,00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=HYPERLINK("https://leilaoonline.com.br/lote/detalhe/148104", "1327")</f>
      </c>
      <c r="B183" s="4" t="s">
        <f>=HYPERLINK("https://leilaoonline.com.br/lote/detalhe/148104", " OIA-040-2022 - APROX. 223 ITENS, HORIMETRO, BUCHA COMPONENTE  E OUTROS - VEJA DESCRITIVO DE ITENS- Ourilândia do Norte - PA")</f>
      </c>
      <c r="C183" s="4" t="inlineStr">
        <is>
          <t>Não vendido</t>
        </is>
      </c>
      <c r="D183" s="4" t="inlineStr">
        <is>
          <t>31</t>
        </is>
      </c>
      <c r="E183" s="5" t="inlineStr">
        <is>
          <t>15.500,00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=HYPERLINK("https://leilaoonline.com.br/lote/detalhe/148101", "1329")</f>
      </c>
      <c r="B184" s="4" t="s">
        <f>=HYPERLINK("https://leilaoonline.com.br/lote/detalhe/148101", " OIA-042-2022 - APROX. 59 ITENS, COLMEIA, MODULOS E OUTROS - VEJA DESCRITIVO DE ITENS- Ourilândia do Norte - PA")</f>
      </c>
      <c r="C184" s="4" t="inlineStr">
        <is>
          <t>Não vendido</t>
        </is>
      </c>
      <c r="D184" s="4" t="inlineStr">
        <is>
          <t>28</t>
        </is>
      </c>
      <c r="E184" s="5" t="inlineStr">
        <is>
          <t>5.900,00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=HYPERLINK("https://leilaoonline.com.br/lote/detalhe/148103", "1330")</f>
      </c>
      <c r="B185" s="4" t="s">
        <f>=HYPERLINK("https://leilaoonline.com.br/lote/detalhe/148103", " OIA-043-2022 - APROX. 422 ITENS, PARAFUSOS, DISJUNTORES  E OUTROS - VEJA DESCRITIVO DE ITENS- Ourilândia do Norte - PA")</f>
      </c>
      <c r="C185" s="4" t="inlineStr">
        <is>
          <t>Não vendido</t>
        </is>
      </c>
      <c r="D185" s="4" t="inlineStr">
        <is>
          <t>58</t>
        </is>
      </c>
      <c r="E185" s="5" t="inlineStr">
        <is>
          <t>16.700,00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=HYPERLINK("https://leilaoonline.com.br/lote/detalhe/148094", "1331")</f>
      </c>
      <c r="B186" s="4" t="s">
        <f>=HYPERLINK("https://leilaoonline.com.br/lote/detalhe/148094", " OIA-044-2022 - APROX. 114 ITENS, ANEIS, TRANSFORMADORES  E OUTROS - VEJA DESCRITIVO DE ITENS- Ourilândia do Norte - PA")</f>
      </c>
      <c r="C186" s="4" t="inlineStr">
        <is>
          <t>Não vendido</t>
        </is>
      </c>
      <c r="D186" s="4" t="inlineStr">
        <is>
          <t>26</t>
        </is>
      </c>
      <c r="E186" s="5" t="inlineStr">
        <is>
          <t>6.750,00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=HYPERLINK("https://leilaoonline.com.br/lote/detalhe/148099", "1334")</f>
      </c>
      <c r="B187" s="4" t="s">
        <f>=HYPERLINK("https://leilaoonline.com.br/lote/detalhe/148099", " PIC-328-2022 - APROX. 823 ITENS. - PARAFUSO FIX G126M WEIR, CAIXA ROLAM FOFO 125MM, DISJUNTOR 40A; E OUTROS, VEJA DESCRITIVO DE ITENS. - LOC. ITABIRITO/MG")</f>
      </c>
      <c r="C187" s="4" t="inlineStr">
        <is>
          <t>Não vendido</t>
        </is>
      </c>
      <c r="D187" s="4" t="inlineStr">
        <is>
          <t>36</t>
        </is>
      </c>
      <c r="E187" s="5" t="inlineStr">
        <is>
          <t>10.600,00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=HYPERLINK("https://leilaoonline.com.br/lote/detalhe/148096", "1337")</f>
      </c>
      <c r="B188" s="4" t="s">
        <f>=HYPERLINK("https://leilaoonline.com.br/lote/detalhe/148096", " PIC-379-2022 - APROX. 83 ITENS. - TUBO 3429961 CATERPILLAR, ROTULA (CAT_P), PRISIONEIRO DA RODA; E OUTROS, VEJA DESCRITIVO DE ITENS. - LOC. ITABIRITO/MG")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2.400,00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=HYPERLINK("https://leilaoonline.com.br/lote/detalhe/148105", "1338")</f>
      </c>
      <c r="B189" s="4" t="s">
        <f>=HYPERLINK("https://leilaoonline.com.br/lote/detalhe/148105", " PIC-384-2022 - APROX. 295 ITENS. - MANGUEIRA 2124544 SCANIA, PARAFUSO CAB SEXT, EIXO 1445778 SCANIA; E OUTROS, VEJA DESCRITIVO DE ITENS. - LOC. ITABIRITO/MG")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3.100,00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=HYPERLINK("https://leilaoonline.com.br/lote/detalhe/148106", "1339")</f>
      </c>
      <c r="B190" s="4" t="s">
        <f>=HYPERLINK("https://leilaoonline.com.br/lote/detalhe/148106", " PIC-385-2022 - APROX. 168 ITENS. - POLIA V 200MM 6CAN SPB, ARRUELA, ANEL 1345279 SCANIA; E OUTROS, VEJA DESCRITIVO DE ITENS. - LOC. ITABIRITO/MG")</f>
      </c>
      <c r="C190" s="4" t="inlineStr">
        <is>
          <t>Não vendido</t>
        </is>
      </c>
      <c r="D190" s="4" t="inlineStr">
        <is>
          <t>8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=HYPERLINK("https://leilaoonline.com.br/lote/detalhe/148117", "1340")</f>
      </c>
      <c r="B191" s="4" t="s">
        <f>=HYPERLINK("https://leilaoonline.com.br/lote/detalhe/148117", " PIC-386-2022 - APROX. 223 ITENS. - ANEL 1711391 CATERPILLAR, FIXADOR 4W0531 CATERPILLAR, VEDACAO PLANA; E OUTROS, VEJA DESCRITIVO DE ITENS. - LOC. - ITABIRITO/MG")</f>
      </c>
      <c r="C191" s="4" t="inlineStr">
        <is>
          <t>Não vendido</t>
        </is>
      </c>
      <c r="D191" s="4" t="inlineStr">
        <is>
          <t>4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=HYPERLINK("https://leilaoonline.com.br/lote/detalhe/148120", "1341")</f>
      </c>
      <c r="B192" s="4" t="s">
        <f>=HYPERLINK("https://leilaoonline.com.br/lote/detalhe/148120", " PIC-390-2022 - APROX. 173 ITENS. - RETENTOR VED PU 92MM 114MM, CHAPA 1357522 SCANIA, PORCA AUTOTRAVANTE; E OUTROS, VEJA DESCRITIVO DE ITENS. - LOC. ITABIRITO/MG")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=HYPERLINK("https://leilaoonline.com.br/lote/detalhe/148112", "1342")</f>
      </c>
      <c r="B193" s="4" t="s">
        <f>=HYPERLINK("https://leilaoonline.com.br/lote/detalhe/148112", " PIC-391-2022 - APROX. 206 ITENS. - LUVA 7N5656 CATERPILLAR, JUNTA 7E6016 CATERPILLAR, RETENTOR VED PU 63,5MM; E OUTROS, VEJA DESCRITIVO DE ITENS. - LOC. ITABIRITO/MG")</f>
      </c>
      <c r="C193" s="4" t="inlineStr">
        <is>
          <t>Não vendido</t>
        </is>
      </c>
      <c r="D193" s="4" t="inlineStr">
        <is>
          <t>3</t>
        </is>
      </c>
      <c r="E193" s="5" t="inlineStr">
        <is>
          <t>700,00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=HYPERLINK("https://leilaoonline.com.br/lote/detalhe/148108", "1343")</f>
      </c>
      <c r="B194" s="4" t="s">
        <f>=HYPERLINK("https://leilaoonline.com.br/lote/detalhe/148108", " PIC-393-2022 - APROX. 165 ITENS. - ANEL VED 6V2662 CATERPILLAR, PARAFUSO 8T0667 CATERPILLAR, PLACA 7U3307 CATERPILLAR; E OUTROS, VEJA DESCRITIVO DE ITENS. - LOC. ITABIRITO/MG")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700,00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=HYPERLINK("https://leilaoonline.com.br/lote/detalhe/148113", "1344")</f>
      </c>
      <c r="B195" s="4" t="s">
        <f>=HYPERLINK("https://leilaoonline.com.br/lote/detalhe/148113", " PIC-395-2022 - APROX. 143 ITENS. - PINO 2G8611 CATERPILLAR, CONEX 6K1972 CATERPILLAR, CLIPE 8T1897 CATERPILLAR; E OUTROS, VEJA DESCRITIVO DE ITENS. - LOC. ITABIRITO/MG")</f>
      </c>
      <c r="C195" s="4" t="inlineStr">
        <is>
          <t>Não vendido</t>
        </is>
      </c>
      <c r="D195" s="4" t="inlineStr">
        <is>
          <t>5</t>
        </is>
      </c>
      <c r="E195" s="5" t="inlineStr">
        <is>
          <t>900,00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=HYPERLINK("https://leilaoonline.com.br/lote/detalhe/148107", "1345")</f>
      </c>
      <c r="B196" s="4" t="s">
        <f>=HYPERLINK("https://leilaoonline.com.br/lote/detalhe/148107", " PIC-396-2022 - APROX. 123 ITENS. - POLIA 1004019 CATERPILLAR, PLACA 1266008 CATERPILLAR, ROLETE 1753479 SCANIA; E OUTROS, VEJA DESCRITIVO DE ITENS. - LOC. ITABIRITO/MG")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800,00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=HYPERLINK("https://leilaoonline.com.br/lote/detalhe/148119", "1346")</f>
      </c>
      <c r="B197" s="4" t="s">
        <f>=HYPERLINK("https://leilaoonline.com.br/lote/detalhe/148119", " PIC-397-2022 - APROX. 182 ITENS. - PORCA 1535592 CATERPILLAR, ARRUELA 413852 SCANIA, JUNTA 2P3230 CATERPILLAR; E OUTROS, VEJA DESCRITIVO DE ITENS. - LOC. ITABIRITO/MG")</f>
      </c>
      <c r="C197" s="4" t="inlineStr">
        <is>
          <t>Não vendido</t>
        </is>
      </c>
      <c r="D197" s="4" t="inlineStr">
        <is>
          <t>8</t>
        </is>
      </c>
      <c r="E197" s="5" t="inlineStr">
        <is>
          <t>1.400,00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=HYPERLINK("https://leilaoonline.com.br/lote/detalhe/148115", "1347")</f>
      </c>
      <c r="B198" s="4" t="s">
        <f>=HYPERLINK("https://leilaoonline.com.br/lote/detalhe/148115", " PIC-402-2022 - APROX. 35 ITENS. - MANGUEIRA 1776891 CATERPILLAR, RESPIRO 4W3027 CATERPILLAR, CONEX 1242109 CATERPILLAR; E OUTROS, VEJA DESCRITIVO DE ITENS. - LOC. ITABIRITO/MG")</f>
      </c>
      <c r="C198" s="4" t="inlineStr">
        <is>
          <t>Não vendido</t>
        </is>
      </c>
      <c r="D198" s="4" t="inlineStr">
        <is>
          <t>4</t>
        </is>
      </c>
      <c r="E198" s="5" t="inlineStr">
        <is>
          <t>800,00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=HYPERLINK("https://leilaoonline.com.br/lote/detalhe/148118", "1348")</f>
      </c>
      <c r="B199" s="4" t="s">
        <f>=HYPERLINK("https://leilaoonline.com.br/lote/detalhe/148118", " PIC-404-2022 - APROX. 27 ITENS. - ELEMENTO 9U6983 CATERPILLAR, MANGUEIRA 2824448 CATERPILLAR, FILTRO FLUID HIDR; E OUTROS, VEJA DESCRITIVO DE ITENS. - LOC. ITABIRITO/MG")</f>
      </c>
      <c r="C199" s="4" t="inlineStr">
        <is>
          <t>Não vendido</t>
        </is>
      </c>
      <c r="D199" s="4" t="inlineStr">
        <is>
          <t>4</t>
        </is>
      </c>
      <c r="E199" s="5" t="inlineStr">
        <is>
          <t>800,00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=HYPERLINK("https://leilaoonline.com.br/lote/detalhe/148121", "1349")</f>
      </c>
      <c r="B200" s="4" t="s">
        <f>=HYPERLINK("https://leilaoonline.com.br/lote/detalhe/148121", " PIC-405-2022 - APROX. 146 ITENS. - ABRACAD 1782741 SCANIA, TUBO 2592456 CATERPILLAR, JUNTA 3008400 CUMMINS; E OUTROS, VEJA DESCRITIVO DE ITENS. - LOC. ITABIRITO/MG")</f>
      </c>
      <c r="C200" s="4" t="inlineStr">
        <is>
          <t>Não vendido</t>
        </is>
      </c>
      <c r="D200" s="4" t="inlineStr">
        <is>
          <t>3</t>
        </is>
      </c>
      <c r="E200" s="5" t="inlineStr">
        <is>
          <t>1.100,00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=HYPERLINK("https://leilaoonline.com.br/lote/detalhe/148111", "1350")</f>
      </c>
      <c r="B201" s="4" t="s">
        <f>=HYPERLINK("https://leilaoonline.com.br/lote/detalhe/148111", " PIC-406-2022 - APROX. 207 ITENS. - MOTOR HIDR 4243893 LETOURNEAU, INTERRUP 1701313 CATERPILLAR, LUVA 3S7166 CATERPILLAR; E OUTROS, VEJA DESCRITIVO DE ITENS. - LOC. ITABIRITO/MG")</f>
      </c>
      <c r="C201" s="4" t="inlineStr">
        <is>
          <t>Não vendido</t>
        </is>
      </c>
      <c r="D201" s="4" t="inlineStr">
        <is>
          <t>12</t>
        </is>
      </c>
      <c r="E201" s="5" t="inlineStr">
        <is>
          <t>3.000,00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=HYPERLINK("https://leilaoonline.com.br/lote/detalhe/148109", "1351")</f>
      </c>
      <c r="B202" s="4" t="s">
        <f>=HYPERLINK("https://leilaoonline.com.br/lote/detalhe/148109", " PIC-407-2022 - APROX. 37 ITENS. - FILTRO 3434464 CATERPILLAR, PARAFUSO 1V8947 CATERPILLAR, SUPORTE CARGA 4E0078 CAT. E OUTROS, VEJA DESCRITIVO DE ITENS. - LOC. ITABIRITO/MG")</f>
      </c>
      <c r="C202" s="4" t="inlineStr">
        <is>
          <t>Não vendido</t>
        </is>
      </c>
      <c r="D202" s="4" t="inlineStr">
        <is>
          <t>7</t>
        </is>
      </c>
      <c r="E202" s="5" t="inlineStr">
        <is>
          <t>1.900,00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=HYPERLINK("https://leilaoonline.com.br/lote/detalhe/148110", "1352")</f>
      </c>
      <c r="B203" s="4" t="s">
        <f>=HYPERLINK("https://leilaoonline.com.br/lote/detalhe/148110", " PIC-408-2022 - APROX. 5 ITENS. - CAPO 1630932 CATERPILLAR, VID 214-1802 CATERPILLAR 2141802 CATERPILLAR; E OUTROS, VEJA DESCRITO DE ITENS. - LOC. ITABIRITO/MG")</f>
      </c>
      <c r="C203" s="4" t="inlineStr">
        <is>
          <t>Não vendido</t>
        </is>
      </c>
      <c r="D203" s="4" t="inlineStr">
        <is>
          <t>7</t>
        </is>
      </c>
      <c r="E203" s="5" t="inlineStr">
        <is>
          <t>2.200,00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=HYPERLINK("https://leilaoonline.com.br/lote/detalhe/148122", "1353")</f>
      </c>
      <c r="B204" s="4" t="s">
        <f>=HYPERLINK("https://leilaoonline.com.br/lote/detalhe/148122", " PIC-409-2022 - APROX. 73 ITENS - PROTETOR, BASE, ADAPTADOR E OUTROS - VEJA DESCRITIVO DE ITENS - LOC. ITABIRITO/MG")</f>
      </c>
      <c r="C204" s="4" t="inlineStr">
        <is>
          <t>Não vendido</t>
        </is>
      </c>
      <c r="D204" s="4" t="inlineStr">
        <is>
          <t>24</t>
        </is>
      </c>
      <c r="E204" s="5" t="inlineStr">
        <is>
          <t>6.450,00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=HYPERLINK("https://leilaoonline.com.br/lote/detalhe/148114", "1354")</f>
      </c>
      <c r="B205" s="4" t="s">
        <f>=HYPERLINK("https://leilaoonline.com.br/lote/detalhe/148114", " PIC-411-2022 - APROX. 80 ITENS. - CONEX 1242029 CATERPILLAR, JUNTA 1786920 CATERPILLAR, CILIN 2837755 CATERPILLAR; E OUTROS, VEJA DESCRITIVO DE ITENS. - LOC. ITABIRITO/MG")</f>
      </c>
      <c r="C205" s="4" t="inlineStr">
        <is>
          <t>Não vendido</t>
        </is>
      </c>
      <c r="D205" s="4" t="inlineStr">
        <is>
          <t>7</t>
        </is>
      </c>
      <c r="E205" s="5" t="inlineStr">
        <is>
          <t>1.900,00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=HYPERLINK("https://leilaoonline.com.br/lote/detalhe/148116", "1355")</f>
      </c>
      <c r="B206" s="4" t="s">
        <f>=HYPERLINK("https://leilaoonline.com.br/lote/detalhe/148116", " PIC-412-2022 - APROX. 434 ITENS. - ESPACDR 6K6444 CATERPILLAR, ANEL 8T7692 CATERPILLAR,  RETENTOR VED NBR 144,4MM; E OUTROS, VEJA DESCRITIVO DE ITENS. - LOC. ITABIRITO/MG")</f>
      </c>
      <c r="C206" s="4" t="inlineStr">
        <is>
          <t>Não vendido</t>
        </is>
      </c>
      <c r="D206" s="4" t="inlineStr">
        <is>
          <t>27</t>
        </is>
      </c>
      <c r="E206" s="5" t="inlineStr">
        <is>
          <t>5.500,00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=HYPERLINK("https://leilaoonline.com.br/lote/detalhe/148123", "1356")</f>
      </c>
      <c r="B207" s="4" t="s">
        <f>=HYPERLINK("https://leilaoonline.com.br/lote/detalhe/148123", " SLS-EQ-027-2022. - BEBEDOURO DE GARRAFAO BRANCO 220V. - LOC. SÃO LUIS/MA")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50,00</t>
        </is>
      </c>
      <c r="F207" s="4" t="inlineStr">
        <is>
          <t>25.00</t>
        </is>
      </c>
    </row>
    <row collapsed="false" customFormat="false" customHeight="false" hidden="false" ht="12.1" outlineLevel="0" r="208">
      <c r="A208" s="5" t="s">
        <f>=HYPERLINK("https://leilaoonline.com.br/lote/detalhe/148125", "1357")</f>
      </c>
      <c r="B208" s="4" t="s">
        <f>=HYPERLINK("https://leilaoonline.com.br/lote/detalhe/148125", " SLS-EQ-030-2022. - 2 NOTEBOOK'S; HP PAVILION 14; HP. - LOC. SÃO LUIS/MA")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=HYPERLINK("https://leilaoonline.com.br/lote/detalhe/148126", "1360")</f>
      </c>
      <c r="B209" s="4" t="s">
        <f>=HYPERLINK("https://leilaoonline.com.br/lote/detalhe/148126", " SLS-MRO-033-2022. - APROX. 595 ITENS. - ANEL O 68MM 4MM, VALVULA SEG 3/4POL, ARRUELA 12MM 21,1MM. - LOC. SÃO LUIS/MA")</f>
      </c>
      <c r="C209" s="4" t="inlineStr">
        <is>
          <t>Não vendido</t>
        </is>
      </c>
      <c r="D209" s="4" t="inlineStr">
        <is>
          <t>14</t>
        </is>
      </c>
      <c r="E209" s="5" t="inlineStr">
        <is>
          <t>1.800,00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=HYPERLINK("https://leilaoonline.com.br/lote/detalhe/148127", "1363")</f>
      </c>
      <c r="B210" s="4" t="s">
        <f>=HYPERLINK("https://leilaoonline.com.br/lote/detalhe/148127", " SLS-MRO-036-2022. - APROX. 414 ITENS. - SENSOR PROX INDUT, RELE SEGUR 24VCC/CA,FUSIVEL CARTUCHO;  E OUTROS, VEJA DESCRITIVO DE ITENS. - LOC. SÃO LUIS/MA ")</f>
      </c>
      <c r="C210" s="4" t="inlineStr">
        <is>
          <t>Não vendido</t>
        </is>
      </c>
      <c r="D210" s="4" t="inlineStr">
        <is>
          <t>29</t>
        </is>
      </c>
      <c r="E210" s="5" t="inlineStr">
        <is>
          <t>4.500,00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=HYPERLINK("https://leilaoonline.com.br/lote/detalhe/148128", "1367")</f>
      </c>
      <c r="B211" s="4" t="s">
        <f>=HYPERLINK("https://leilaoonline.com.br/lote/detalhe/148128", " SLS-MRO-040-2022. - APROX. 377 ITENS. - MODULO ELET FREIO 230-500V, FILTRO CESTO FOFO 1POL, CAIXA DERIV X 2 POL-180X84MM; E OUTROS, VEJA DESCRITIVO DE ITENS. - LOC. SÃO LUIS/MA")</f>
      </c>
      <c r="C211" s="4" t="inlineStr">
        <is>
          <t>Não vendido</t>
        </is>
      </c>
      <c r="D211" s="4" t="inlineStr">
        <is>
          <t>14</t>
        </is>
      </c>
      <c r="E211" s="5" t="inlineStr">
        <is>
          <t>3.100,00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=HYPERLINK("https://leilaoonline.com.br/lote/detalhe/150517", "1369")</f>
      </c>
      <c r="B212" s="4" t="s">
        <f>=HYPERLINK("https://leilaoonline.com.br/lote/detalhe/150517", " SLS-MRO-042-2022. - APROX. 149 ITENS. - MODULO ELETRONICO, TANQUE 8001803 CLARK, SENSOR PROX INDUT; E OUTROS, VEJA DESCRITIVO DE ITENS. - LOC. SÃO LUIS/MA")</f>
      </c>
      <c r="C212" s="4" t="inlineStr">
        <is>
          <t>Vendido</t>
        </is>
      </c>
      <c r="D212" s="4" t="inlineStr">
        <is>
          <t>9</t>
        </is>
      </c>
      <c r="E212" s="5" t="inlineStr">
        <is>
          <t>2.100,00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=HYPERLINK("https://leilaoonline.com.br/lote/detalhe/148124", "1370")</f>
      </c>
      <c r="B213" s="4" t="s">
        <f>=HYPERLINK("https://leilaoonline.com.br/lote/detalhe/148124", " SLS-MRO-043-2022. - APROX. 34 ITENS. - VALVULA AGULHA 1/4POL 350BAR, SENSOR NIVEL 18A30VCC 16BAR; E OUTROS, VEJA DESCRITIVO DE ITENS. - LOC. SÃO LUIS/MA")</f>
      </c>
      <c r="C213" s="4" t="inlineStr">
        <is>
          <t>Não vendido</t>
        </is>
      </c>
      <c r="D213" s="4" t="inlineStr">
        <is>
          <t>12</t>
        </is>
      </c>
      <c r="E213" s="5" t="inlineStr">
        <is>
          <t>2.000,00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=HYPERLINK("https://leilaoonline.com.br/lote/detalhe/148130", "1371")</f>
      </c>
      <c r="B214" s="4" t="s">
        <f>=HYPERLINK("https://leilaoonline.com.br/lote/detalhe/148130", " SLS-MRO-044-2022. - APROX. 53 ITENS. - NIPLE TUBO NPT/NPT 1POL, FUSIVEL HH 15KV 1A 230MM, CAVALETE 2200X943X360MM; E OUTROS, VEJA DESCRITIVO DE ITENS. - LOC. SÃO LUIS/MA")</f>
      </c>
      <c r="C214" s="4" t="inlineStr">
        <is>
          <t>Não vendido</t>
        </is>
      </c>
      <c r="D214" s="4" t="inlineStr">
        <is>
          <t>13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=HYPERLINK("https://leilaoonline.com.br/lote/detalhe/148129", "1372")</f>
      </c>
      <c r="B215" s="4" t="s">
        <f>=HYPERLINK("https://leilaoonline.com.br/lote/detalhe/148129", " SLS-MRO-045-2022. - APROX. 135 ITENS. - VALVULA REDUT PRES609809E IT.37, ROLAMENTO AXIAL10071758, DISJUNTOR 1250A; E OUTROS, VEJA DESCRITIVO DE ITENS. - LOC. SÃO LUIS/MA")</f>
      </c>
      <c r="C215" s="4" t="inlineStr">
        <is>
          <t>Não vendido</t>
        </is>
      </c>
      <c r="D215" s="4" t="inlineStr">
        <is>
          <t>16</t>
        </is>
      </c>
      <c r="E215" s="5" t="inlineStr">
        <is>
          <t>2.600,00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=HYPERLINK("https://leilaoonline.com.br/lote/detalhe/148132", "1374")</f>
      </c>
      <c r="B216" s="4" t="s">
        <f>=HYPERLINK("https://leilaoonline.com.br/lote/detalhe/148132", " SLS-MRO-047-2022. - APROX. 107 ITENS. - DISPOSITIVO FIXACAO10071933, ELEMENTO FILT CLASSE G3, ANEL 155X5-NBR; E OUTROS, VEJA DESCRITIVO DE ITENS. - LOC. SÃO LUIS/MA")</f>
      </c>
      <c r="C216" s="4" t="inlineStr">
        <is>
          <t>Não vendido</t>
        </is>
      </c>
      <c r="D216" s="4" t="inlineStr">
        <is>
          <t>13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=HYPERLINK("https://leilaoonline.com.br/lote/detalhe/148131", "1375")</f>
      </c>
      <c r="B217" s="4" t="s">
        <f>=HYPERLINK("https://leilaoonline.com.br/lote/detalhe/148131", " SLS-MRO-048-2022. - APROX. 254 ITENS. - PORCA KM13 PLASSER, MANGUEIRA MONT 41A222857P1, TERMINAL MANG RET 3/16POL 7/16PO; E PTROS, VEJA DESCRITIVO DE ITENS. - LOC. SÃO LUIS/MA")</f>
      </c>
      <c r="C217" s="4" t="inlineStr">
        <is>
          <t>Não vendido</t>
        </is>
      </c>
      <c r="D217" s="4" t="inlineStr">
        <is>
          <t>6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=HYPERLINK("https://leilaoonline.com.br/lote/detalhe/148133", "1377")</f>
      </c>
      <c r="B218" s="4" t="s">
        <f>=HYPERLINK("https://leilaoonline.com.br/lote/detalhe/148133", " SLS-MROZIPI-012-2022. - APROX. 52 ITENS. - CENTRIFUGADORES, INCLUINDO OS SECADORES CENTRIFUGOS; APARELHOS PARA FILTRAR; E OUTROS, VEJA DESCRITIVO DE ITENS. - LOC. SÃO LUIS/MA")</f>
      </c>
      <c r="C218" s="4" t="inlineStr">
        <is>
          <t>Não vendido</t>
        </is>
      </c>
      <c r="D218" s="4" t="inlineStr">
        <is>
          <t>6</t>
        </is>
      </c>
      <c r="E218" s="5" t="inlineStr">
        <is>
          <t>3.600,00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=HYPERLINK("https://leilaoonline.com.br/lote/detalhe/148135", "1379")</f>
      </c>
      <c r="B219" s="4" t="s">
        <f>=HYPERLINK("https://leilaoonline.com.br/lote/detalhe/148135", " SSG-051-2022-MR0. - APROX. 186 ITENS. - ARRUELA 966467 CATERPILLAR, FILTRO 1449962 CATERPILLAR, TRAVA 2014759 CATERPILLAR, E OUTROS, VEJA DESCRITIVO DE ITENS. - LOC. CANAÃ DOS CARAJAS/PA 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500,00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=HYPERLINK("https://leilaoonline.com.br/lote/detalhe/148139", "1380")</f>
      </c>
      <c r="B220" s="4" t="s">
        <f>=HYPERLINK("https://leilaoonline.com.br/lote/detalhe/148139", " SSG-052-2022-MRO. - APROX 1088 ITENS. - PORCA SEXT 1POL NS 8, SELO 8C3100 CATERPILLAR, MOL 5V8494 CATERPILLAR; E OUTROS, VEJA DESCRITIVO DE ITENS. - LOC. CANAÃ DOS CARAJAS/PA")</f>
      </c>
      <c r="C220" s="4" t="inlineStr">
        <is>
          <t>Não vendido</t>
        </is>
      </c>
      <c r="D220" s="4" t="inlineStr">
        <is>
          <t>14</t>
        </is>
      </c>
      <c r="E220" s="5" t="inlineStr">
        <is>
          <t>2.600,00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=HYPERLINK("https://leilaoonline.com.br/lote/detalhe/148134", "1381")</f>
      </c>
      <c r="B221" s="4" t="s">
        <f>=HYPERLINK("https://leilaoonline.com.br/lote/detalhe/148134", " SSG-053-2022-MRO. - APROX. 154 ITENS. - CAPA 7H4566 CATERPILLAR, ILHOS 932065 CATERPILLAR, LENTE 2592093 CATERPILLAR; E OUTROS, VEJA DESCRITIVO DE ITENS. - LOC. CANÃ DOS CARAJÁS/PA")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3.100,00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=HYPERLINK("https://leilaoonline.com.br/lote/detalhe/148137", "1382")</f>
      </c>
      <c r="B222" s="4" t="s">
        <f>=HYPERLINK("https://leilaoonline.com.br/lote/detalhe/148137", " SSG-054-2022-MRO. - APROX. 336 ITENS. - ANEL, PARAFUSO, REBOLO E OUTROS, VEJA DESCRITIVO DE ITENS. - LOC. CANÃ DOS CARAJÁS/PA")</f>
      </c>
      <c r="C222" s="4" t="inlineStr">
        <is>
          <t>Não vendido</t>
        </is>
      </c>
      <c r="D222" s="4" t="inlineStr">
        <is>
          <t>5</t>
        </is>
      </c>
      <c r="E222" s="5" t="inlineStr">
        <is>
          <t>900,00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=HYPERLINK("https://leilaoonline.com.br/lote/detalhe/148136", "1383")</f>
      </c>
      <c r="B223" s="4" t="s">
        <f>=HYPERLINK("https://leilaoonline.com.br/lote/detalhe/148136", " SSG-018-2022-MRO. - APROX. 119 ITENS. - RETENTOR NBR 158,12MM, CONEXAO 403680 GE, DISJUNTOR 25A 25KA UNIPOLAR; E OUTROS, VEJA DESCRITIVO DE ITENS. - LOC. CANAÃ DOS CARAJÁS/PA")</f>
      </c>
      <c r="C223" s="4" t="inlineStr">
        <is>
          <t>Não vendido</t>
        </is>
      </c>
      <c r="D223" s="4" t="inlineStr">
        <is>
          <t>3</t>
        </is>
      </c>
      <c r="E223" s="5" t="inlineStr">
        <is>
          <t>1.500,00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=HYPERLINK("https://leilaoonline.com.br/lote/detalhe/148140", "1386")</f>
      </c>
      <c r="B224" s="4" t="s">
        <f>=HYPERLINK("https://leilaoonline.com.br/lote/detalhe/148140", " SSG-043-2022-MRO. - APROX. 509 ITENS. - MODULO ELETR 18-30VCC, LUVA EMENDA CABO YSL120-T32 FCI, FONTE ALIM 48V; E OUTROS, VEJA DESCRITIVO DE ITENS. - LOC. CANAÃ DOS CARAJÁS/PA")</f>
      </c>
      <c r="C224" s="4" t="inlineStr">
        <is>
          <t>Não vendido</t>
        </is>
      </c>
      <c r="D224" s="4" t="inlineStr">
        <is>
          <t>48</t>
        </is>
      </c>
      <c r="E224" s="5" t="inlineStr">
        <is>
          <t>10.500,00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=HYPERLINK("https://leilaoonline.com.br/lote/detalhe/150515", "1387")</f>
      </c>
      <c r="B225" s="4" t="s">
        <f>=HYPERLINK("https://leilaoonline.com.br/lote/detalhe/150515", " SSG-045-2022-MRO. - APROX. 311 ITENS. - EIXO 2657770463 ATLAS COPCO, CHAVE SECCIONADORA, CAVALETE 250X707X1810MM;  E OUTROS, VEJA DECRITIVO DE ITENS. -LOC. CANAÃ DOS CARAJÁS/PA")</f>
      </c>
      <c r="C225" s="4" t="inlineStr">
        <is>
          <t>Não vendido</t>
        </is>
      </c>
      <c r="D225" s="4" t="inlineStr">
        <is>
          <t>3</t>
        </is>
      </c>
      <c r="E225" s="5" t="inlineStr">
        <is>
          <t>900,00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=HYPERLINK("https://leilaoonline.com.br/lote/detalhe/148138", "1388")</f>
      </c>
      <c r="B226" s="4" t="s">
        <f>=HYPERLINK("https://leilaoonline.com.br/lote/detalhe/148138", " SSG-047-2022-MRO. - APROX. 211 ITENS. - ANEL 0700015240 KOMATSU, BATENTE 92598240 KOMATSU,FILTRO 76694773 KOMATSU; E OUTROS, VEJA DESCRITIVO DE ITENS. - LOC. CANAÃ DOS CARAJÁS/PA  ")</f>
      </c>
      <c r="C226" s="4" t="inlineStr">
        <is>
          <t>Não vendido</t>
        </is>
      </c>
      <c r="D226" s="4" t="inlineStr">
        <is>
          <t>7</t>
        </is>
      </c>
      <c r="E226" s="5" t="inlineStr">
        <is>
          <t>1.100,00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=HYPERLINK("https://leilaoonline.com.br/lote/detalhe/150516", "1389")</f>
      </c>
      <c r="B227" s="4" t="s">
        <f>=HYPERLINK("https://leilaoonline.com.br/lote/detalhe/150516", " SSG-050-2022-MRO. -  APROX. 431 ITENS. - MODULO ELET 24VCC, FILTRO 03363 HIGRA, VALVULA RET 4POL 150LBS; E OUTROS, VEJA DESCRITIVO DE ITENS. - LOC. CANAÃ DOS CARAJÁS/PA")</f>
      </c>
      <c r="C227" s="4" t="inlineStr">
        <is>
          <t>Não vendido</t>
        </is>
      </c>
      <c r="D227" s="4" t="inlineStr">
        <is>
          <t>3</t>
        </is>
      </c>
      <c r="E227" s="5" t="inlineStr">
        <is>
          <t>870,00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=HYPERLINK("https://leilaoonline.com.br/lote/detalhe/148142", "1391")</f>
      </c>
      <c r="B228" s="4" t="s">
        <f>=HYPERLINK("https://leilaoonline.com.br/lote/detalhe/148142", " TIG-016-2022. - APROX. 1064 ITENS. - ROLO TRANSP RET METAL 6,35MM 1961MM, ARRUELA 16MM 24,4MM; E OUTROS, VEJA DESCRITIVO DE ITENS. - LOC. MANGARATIBA/RJ  ")</f>
      </c>
      <c r="C228" s="4" t="inlineStr">
        <is>
          <t>Não vendido</t>
        </is>
      </c>
      <c r="D228" s="4" t="inlineStr">
        <is>
          <t>2</t>
        </is>
      </c>
      <c r="E228" s="5" t="inlineStr">
        <is>
          <t>600,00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=HYPERLINK("https://leilaoonline.com.br/lote/detalhe/148143", "1393")</f>
      </c>
      <c r="B229" s="4" t="s">
        <f>=HYPERLINK("https://leilaoonline.com.br/lote/detalhe/148143", " TIG-018-2022. - APROX. 1514 ITENS. - PARAFUSO 5/8POL 10POL UNC, SENSOR PROX INDUT, ROLO TRANSP 8,08MM 726MM; E OUTROS, VEJA DESCRITIVO DE ITENS. - LOC. MANGARATIBA/RJ")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1.300,00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=HYPERLINK("https://leilaoonline.com.br/lote/detalhe/148144", "1394")</f>
      </c>
      <c r="B230" s="4" t="s">
        <f>=HYPERLINK("https://leilaoonline.com.br/lote/detalhe/148144", " TIG-022-2022. - 2 TMB CR TR 800MM - MBR - LOC. MANGARATIBA/RJ")</f>
      </c>
      <c r="C230" s="4" t="inlineStr">
        <is>
          <t>Não vendido</t>
        </is>
      </c>
      <c r="D230" s="4" t="inlineStr">
        <is>
          <t>9</t>
        </is>
      </c>
      <c r="E230" s="5" t="inlineStr">
        <is>
          <t>2.100,00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=HYPERLINK("https://leilaoonline.com.br/lote/detalhe/148141", "1395")</f>
      </c>
      <c r="B231" s="4" t="s">
        <f>=HYPERLINK("https://leilaoonline.com.br/lote/detalhe/148141", " TIG-023-2022. - 2 TMB CR TR 800MM - MBR - LOC. MANGARATIBA/RJ")</f>
      </c>
      <c r="C231" s="4" t="inlineStr">
        <is>
          <t>Não vendido</t>
        </is>
      </c>
      <c r="D231" s="4" t="inlineStr">
        <is>
          <t>14</t>
        </is>
      </c>
      <c r="E231" s="5" t="inlineStr">
        <is>
          <t>3.100,00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=HYPERLINK("https://leilaoonline.com.br/lote/detalhe/148145", "1396")</f>
      </c>
      <c r="B232" s="4" t="s">
        <f>=HYPERLINK("https://leilaoonline.com.br/lote/detalhe/148145", " TIG-024-2022. - 1 TAMBOR CORR TRANSP 1200MM E 1 TAMBOR CORR TRANSP 630MM OUTOKUMPU - LOC. MANGARATIBA/RJ")</f>
      </c>
      <c r="C232" s="4" t="inlineStr">
        <is>
          <t>Não vendido</t>
        </is>
      </c>
      <c r="D232" s="4" t="inlineStr">
        <is>
          <t>9</t>
        </is>
      </c>
      <c r="E232" s="5" t="inlineStr">
        <is>
          <t>2.100,00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=HYPERLINK("https://leilaoonline.com.br/lote/detalhe/148152", "1397")</f>
      </c>
      <c r="B233" s="4" t="s">
        <f>=HYPERLINK("https://leilaoonline.com.br/lote/detalhe/148152", " TIG-025-2022 - 1 TAMBOR CORR TRANSP 1000MM K6098-TC09B-09. - LOC. MANGARATIBA/RJ")</f>
      </c>
      <c r="C233" s="4" t="inlineStr">
        <is>
          <t>Não vendido</t>
        </is>
      </c>
      <c r="D233" s="4" t="inlineStr">
        <is>
          <t>4</t>
        </is>
      </c>
      <c r="E233" s="5" t="inlineStr">
        <is>
          <t>1.100,00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=HYPERLINK("https://leilaoonline.com.br/lote/detalhe/148149", "1398")</f>
      </c>
      <c r="B234" s="4" t="s">
        <f>=HYPERLINK("https://leilaoonline.com.br/lote/detalhe/148149", " TIG-026-2022 - 1 TAMBOR MGS-K9022006019-20 FILSAN. - LOC. MANGARATIBA/RJ")</f>
      </c>
      <c r="C234" s="4" t="inlineStr">
        <is>
          <t>Não vendido</t>
        </is>
      </c>
      <c r="D234" s="4" t="inlineStr">
        <is>
          <t>4</t>
        </is>
      </c>
      <c r="E234" s="5" t="inlineStr">
        <is>
          <t>1.100,00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=HYPERLINK("https://leilaoonline.com.br/lote/detalhe/148154", "1399")</f>
      </c>
      <c r="B235" s="4" t="s">
        <f>=HYPERLINK("https://leilaoonline.com.br/lote/detalhe/148154", " TIG-027-2022 - 1 TAMBOR CORR TRANSP 1170MM - FILSAN - LOC. MANGARATIBA/RJ")</f>
      </c>
      <c r="C235" s="4" t="inlineStr">
        <is>
          <t>Não vendido</t>
        </is>
      </c>
      <c r="D235" s="4" t="inlineStr">
        <is>
          <t>11</t>
        </is>
      </c>
      <c r="E235" s="5" t="inlineStr">
        <is>
          <t>2.500,00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=HYPERLINK("https://leilaoonline.com.br/lote/detalhe/148147", "1400")</f>
      </c>
      <c r="B236" s="4" t="s">
        <f>=HYPERLINK("https://leilaoonline.com.br/lote/detalhe/148147", " TIG-030-2022. - APROX. 93 ITENS. - DISJUNTOR 4A 100KA TRIP, CHAVE NIVEL ANALOG 22MM SPST, MOTOFREIO CA 440V; E OUTROS, VEJA DESCRITIVO DE ITENS. - LOC. MANGARATIBA/RJ")</f>
      </c>
      <c r="C236" s="4" t="inlineStr">
        <is>
          <t>Não vendido</t>
        </is>
      </c>
      <c r="D236" s="4" t="inlineStr">
        <is>
          <t>2</t>
        </is>
      </c>
      <c r="E236" s="5" t="inlineStr">
        <is>
          <t>600,00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=HYPERLINK("https://leilaoonline.com.br/lote/detalhe/148148", "1401")</f>
      </c>
      <c r="B237" s="4" t="s">
        <f>=HYPERLINK("https://leilaoonline.com.br/lote/detalhe/148148", " TIG-031-2022. - 2 CX DF-3111PS-M-00021/IT.1-20 DESENHO VALE. - LOC. MANGARATIBA/RJ")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=HYPERLINK("https://leilaoonline.com.br/lote/detalhe/148146", "1402")</f>
      </c>
      <c r="B238" s="4" t="s">
        <f>=HYPERLINK("https://leilaoonline.com.br/lote/detalhe/148146", " TIG-032-2022. - 8  ANEL O 16,36MM 2,21MM 90SHOREA - CUMMINS; CATERPILLAR - LOC. MANAGARATIBA/RJ")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=HYPERLINK("https://leilaoonline.com.br/lote/detalhe/148151", "1404")</f>
      </c>
      <c r="B239" s="4" t="s">
        <f>=HYPERLINK("https://leilaoonline.com.br/lote/detalhe/148151", " TIG-034-2022. - APROX. 17 ITENS. - BUCHA ROLAM CONIC 320MM, ROL ESF 6324 C3 SKF, PROJETOR LUMIN MONT 400VCA; E OUTROS, VEJA DESCRITIVO DE ITENS. - LOC. MANGARATIBA/RJ")</f>
      </c>
      <c r="C239" s="4" t="inlineStr">
        <is>
          <t>Não vendido</t>
        </is>
      </c>
      <c r="D239" s="4" t="inlineStr">
        <is>
          <t>16</t>
        </is>
      </c>
      <c r="E239" s="5" t="inlineStr">
        <is>
          <t>3.500,00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=HYPERLINK("https://leilaoonline.com.br/lote/detalhe/148150", "1406")</f>
      </c>
      <c r="B240" s="4" t="s">
        <f>=HYPERLINK("https://leilaoonline.com.br/lote/detalhe/148150", " VIGA-043-2022. - 1 PARTES E PECAS TECIDO FILTRANTE ESTEIRA. - LOC. CONGONHAS/MG")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=HYPERLINK("https://leilaoonline.com.br/lote/detalhe/148153", "1407")</f>
      </c>
      <c r="B241" s="4" t="s">
        <f>=HYPERLINK("https://leilaoonline.com.br/lote/detalhe/148153", " VIGA-045-2022. - 2 SENSORES NIVEL I04453 UNIDATA. - LOC. CONGONHAS/MG")</f>
      </c>
      <c r="C241" s="4" t="inlineStr">
        <is>
          <t>Não vendido</t>
        </is>
      </c>
      <c r="D241" s="4" t="inlineStr">
        <is>
          <t>2</t>
        </is>
      </c>
      <c r="E241" s="5" t="inlineStr">
        <is>
          <t>600,00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=HYPERLINK("https://leilaoonline.com.br/lote/detalhe/148157", "1408")</f>
      </c>
      <c r="B242" s="4" t="s">
        <f>=HYPERLINK("https://leilaoonline.com.br/lote/detalhe/148157", " GOV-022-2022 - APROX. 1535 ITENS - MOTOR LIMPADOR, LUVA, MANGUEIRA E OUTROS - VEJA DESCRITIVO DE ITENS - LOC: GOVERNADOR VALADARES/ MG")</f>
      </c>
      <c r="C242" s="4" t="inlineStr">
        <is>
          <t>Não vendido</t>
        </is>
      </c>
      <c r="D242" s="4" t="inlineStr">
        <is>
          <t>9</t>
        </is>
      </c>
      <c r="E242" s="5" t="inlineStr">
        <is>
          <t>1.500,00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=HYPERLINK("https://leilaoonline.com.br/lote/detalhe/148160", "1409")</f>
      </c>
      <c r="B243" s="4" t="s">
        <f>=HYPERLINK("https://leilaoonline.com.br/lote/detalhe/148160", " GOV-023-2022 - APROX. 1480 ITENS - PARTES E PECAS EQUIP DIVERSOS, MODULO, CABEÇOTE E OUTROS - VEJA DESCRITIVO DE ITENS - LOC: GOVERNADOR VALADARES/ MG")</f>
      </c>
      <c r="C243" s="4" t="inlineStr">
        <is>
          <t>Não vendido</t>
        </is>
      </c>
      <c r="D243" s="4" t="inlineStr">
        <is>
          <t>11</t>
        </is>
      </c>
      <c r="E243" s="5" t="inlineStr">
        <is>
          <t>1.800,00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=HYPERLINK("https://leilaoonline.com.br/lote/detalhe/148169", "1410")</f>
      </c>
      <c r="B244" s="4" t="s">
        <f>=HYPERLINK("https://leilaoonline.com.br/lote/detalhe/148169", " GOV-024-2022. - APROX. 164 ITENS. - ELEMENTO FILTR 11448509 VOLVO, PORCA 5100-001793 EMPRETEC, DISJUNTOR 230324 LORAM; E OUTROS, VEJA DESCRITIVO DE ITENS. - LOC. GOVERNADOR VALADARES/MG")</f>
      </c>
      <c r="C244" s="4" t="inlineStr">
        <is>
          <t>Não vendido</t>
        </is>
      </c>
      <c r="D244" s="4" t="inlineStr">
        <is>
          <t>11</t>
        </is>
      </c>
      <c r="E244" s="5" t="inlineStr">
        <is>
          <t>1.900,00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=HYPERLINK("https://leilaoonline.com.br/lote/detalhe/148164", "1411")</f>
      </c>
      <c r="B245" s="4" t="s">
        <f>=HYPERLINK("https://leilaoonline.com.br/lote/detalhe/148164", " GOV-027-2022-RG136-138 - APROX. 664 ITENS. - CORREIA V 5/16POL 1/2POL, CONECTOR 35626540 KOMATSU, GUIA 131527 LORAM; E OUTROS, VEJA DESCRITIVO DE ITENS. - LOC. GOVERNADOR VALADARES/MG")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500,00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=HYPERLINK("https://leilaoonline.com.br/lote/detalhe/148166", "1412")</f>
      </c>
      <c r="B246" s="4" t="s">
        <f>=HYPERLINK("https://leilaoonline.com.br/lote/detalhe/148166", " GOV-032-2022. - APROX. 1564 ITENS. - FILTRO FLUIDO OLEO LUBRIF, POLIA 6N4399 CATERPILLAR, ROLAMENTO ESF 6216 C3 SKF; E OUTROS, VEJA DESCRITIVO DE ITENS. - LOC. GOVERNADOR VALADARES/MG")</f>
      </c>
      <c r="C246" s="4" t="inlineStr">
        <is>
          <t>Não vendido</t>
        </is>
      </c>
      <c r="D246" s="4" t="inlineStr">
        <is>
          <t>18</t>
        </is>
      </c>
      <c r="E246" s="5" t="inlineStr">
        <is>
          <t>3.900,00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=HYPERLINK("https://leilaoonline.com.br/lote/detalhe/150514", "1413")</f>
      </c>
      <c r="B247" s="4" t="s">
        <f>=HYPERLINK("https://leilaoonline.com.br/lote/detalhe/150514", " GOV-033-2022. - APROX. 10 ITENS. - MOTO VIBRADOR PE DE PATO GEISMAR, MAQUINA DE SOLDA MODELO: GS425 NM; MARCA: PRODELEC; E OUTROS, VEJA DESCRITIVO DE ITENS. - LOC. GOVERNADOR VALADARES/MG")</f>
      </c>
      <c r="C247" s="4" t="inlineStr">
        <is>
          <t>Vendido</t>
        </is>
      </c>
      <c r="D247" s="4" t="inlineStr">
        <is>
          <t>7</t>
        </is>
      </c>
      <c r="E247" s="5" t="inlineStr">
        <is>
          <t>1.700,00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=HYPERLINK("https://leilaoonline.com.br/lote/detalhe/148156", "1414")</f>
      </c>
      <c r="B248" s="4" t="s">
        <f>=HYPERLINK("https://leilaoonline.com.br/lote/detalhe/148156", " GOV-034-2022. - APROX. 2790 ITENS. - ROLO APOIO UD80.304 PLASSER, MOLA 148352 LORAM, TOMADA 151794 LORAM; E OUTROS, VEJA DESCRITIVO DE ITENS. - LOC. GOVERNADOR VALADARES/MG")</f>
      </c>
      <c r="C248" s="4" t="inlineStr">
        <is>
          <t>Não vendido</t>
        </is>
      </c>
      <c r="D248" s="4" t="inlineStr">
        <is>
          <t>4</t>
        </is>
      </c>
      <c r="E248" s="5" t="inlineStr">
        <is>
          <t>800,00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=HYPERLINK("https://leilaoonline.com.br/lote/detalhe/148155", "1415")</f>
      </c>
      <c r="B249" s="4" t="s">
        <f>=HYPERLINK("https://leilaoonline.com.br/lote/detalhe/148155", " GOV-035-2022. - APROX. 12 ITENS. - MACACO HIDRAULICO PARA LEVANTE DE LINHA MOD A17, MOTO SERRA; 63CM; SABRE; E OUTROS, VEJA DESCRITIVO DE ITENS. - LOC. GOVERNADOR VALADARES/MG")</f>
      </c>
      <c r="C249" s="4" t="inlineStr">
        <is>
          <t>Vendido</t>
        </is>
      </c>
      <c r="D249" s="4" t="inlineStr">
        <is>
          <t>17</t>
        </is>
      </c>
      <c r="E249" s="5" t="inlineStr">
        <is>
          <t>3.700,00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=HYPERLINK("https://leilaoonline.com.br/lote/detalhe/148159", "1416")</f>
      </c>
      <c r="B250" s="4" t="s">
        <f>=HYPERLINK("https://leilaoonline.com.br/lote/detalhe/148159", " GOV-036-2022. - 3 MAQUINAS DE ESMERILHAR TRILHOS, 1 ESMERILHADEIRA DE BOLETO HIDRAULICA, 1 GERADOR SOCARIA ELETRICA. - LOC. GOVERNADOR VALADARES/MG")</f>
      </c>
      <c r="C250" s="4" t="inlineStr">
        <is>
          <t>Vendido</t>
        </is>
      </c>
      <c r="D250" s="4" t="inlineStr">
        <is>
          <t>14</t>
        </is>
      </c>
      <c r="E250" s="5" t="inlineStr">
        <is>
          <t>3.100,00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=HYPERLINK("https://leilaoonline.com.br/lote/detalhe/148168", "1417")</f>
      </c>
      <c r="B251" s="4" t="s">
        <f>=HYPERLINK("https://leilaoonline.com.br/lote/detalhe/148168", " GOV-037-2022. - 3 CADEIRAS STAFF ESTOF ESPALD MED GIRAT C/ BRAÇOS, 3 CONJUNTOS DE CADEIRAS, 1 CADEIRA GIRATORIA OPERACIONAL COMPLETA. - LOC. GOVERNADOR VALADARES/MG")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=HYPERLINK("https://leilaoonline.com.br/lote/detalhe/148167", "1419")</f>
      </c>
      <c r="B252" s="4" t="s">
        <f>=HYPERLINK("https://leilaoonline.com.br/lote/detalhe/148167", " GOV-041-2022. - APROX. 81 ITENS. - ARRUELA 144B-22-00020 SUMIN, EIXO UD25.1102 PLASSER, DESSECANTE 110684 LORAM; E OUTROS, VEJA DESCRITIVO DE ITENS. - LOC. GOVERNADOR VALADARES/MG")</f>
      </c>
      <c r="C252" s="4" t="inlineStr">
        <is>
          <t>Não vendido</t>
        </is>
      </c>
      <c r="D252" s="4" t="inlineStr">
        <is>
          <t>4</t>
        </is>
      </c>
      <c r="E252" s="5" t="inlineStr">
        <is>
          <t>800,00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=HYPERLINK("https://leilaoonline.com.br/lote/detalhe/148162", "1420")</f>
      </c>
      <c r="B253" s="4" t="s">
        <f>=HYPERLINK("https://leilaoonline.com.br/lote/detalhe/148162", " GOV-042-2022. - 10 BIOMBOS HOSPITALARES, 10 BALANÇAS ANTOPOMÉTRICA PARA PESSOAS (USO DOMÉSTICO). - LOC. GOVERNADOR VALADARES/MG")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500,00</t>
        </is>
      </c>
      <c r="F253" s="4" t="inlineStr">
        <is>
          <t>100.00</t>
        </is>
      </c>
    </row>
    <row collapsed="false" customFormat="false" customHeight="false" hidden="false" ht="12.1" outlineLevel="0" r="254">
      <c r="A254" s="5" t="s">
        <f>=HYPERLINK("https://leilaoonline.com.br/lote/detalhe/148161", "1421")</f>
      </c>
      <c r="B254" s="4" t="s">
        <f>=HYPERLINK("https://leilaoonline.com.br/lote/detalhe/148161", " GOV-043-2022. - 1 FREEZER PASS TROUGHT REFRIGERADO MACOM. - LOC. GOVERNADOR VALADARES/MG")</f>
      </c>
      <c r="C254" s="4" t="inlineStr">
        <is>
          <t>Não 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=HYPERLINK("https://leilaoonline.com.br/lote/detalhe/148165", "1422")</f>
      </c>
      <c r="B255" s="4" t="s">
        <f>=HYPERLINK("https://leilaoonline.com.br/lote/detalhe/148165", " GOV-044-2022. - APROX. 110 ITENS. - GUARNICAO HY6RSD-DS PLASSER, SENSR 323.803/001/006 PLASSER, FAROL 1G3 005 760-021 HELLA; E OUTROS, VEJA DESCRITIVO DE ITENS. - LOC. GOVERNADOR VALADARES/MG")</f>
      </c>
      <c r="C255" s="4" t="inlineStr">
        <is>
          <t>Não vendido</t>
        </is>
      </c>
      <c r="D255" s="4" t="inlineStr">
        <is>
          <t>1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=HYPERLINK("https://leilaoonline.com.br/lote/detalhe/148158", "1423")</f>
      </c>
      <c r="B256" s="4" t="s">
        <f>=HYPERLINK("https://leilaoonline.com.br/lote/detalhe/148158", " GOV-045-2022. -  APROX. 3721 ITENS. - TESTE ELETRICO SCANIA, ACOPLAMENTO - MATISA, ROLER MATISA; E OUTROS, VEJA DESCRITIVO DE ITENS. - LOC. GOVERNADOR VALADARES/MG")</f>
      </c>
      <c r="C256" s="4" t="inlineStr">
        <is>
          <t>Não vendido</t>
        </is>
      </c>
      <c r="D256" s="4" t="inlineStr">
        <is>
          <t>5</t>
        </is>
      </c>
      <c r="E256" s="5" t="inlineStr">
        <is>
          <t>900,00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=HYPERLINK("https://leilaoonline.com.br/lote/detalhe/148163", "1424")</f>
      </c>
      <c r="B257" s="4" t="s">
        <f>=HYPERLINK("https://leilaoonline.com.br/lote/detalhe/148163", " GOV-046-2022. - APROX. 505 ITENS. - BASE DE RELÉ SCHNEIDER BOTOEIRA VERMELHA, TOMADA; E OUTROS, VEJA DESCRITIVO DE ITENS. - LOC. GOVERNADOR VALADARES/MG")</f>
      </c>
      <c r="C257" s="4" t="inlineStr">
        <is>
          <t>Não vendido</t>
        </is>
      </c>
      <c r="D257" s="4" t="inlineStr">
        <is>
          <t>7</t>
        </is>
      </c>
      <c r="E257" s="5" t="inlineStr">
        <is>
          <t>1.100,00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=HYPERLINK("https://leilaoonline.com.br/lote/detalhe/148170", "1425")</f>
      </c>
      <c r="B258" s="4" t="s">
        <f>=HYPERLINK("https://leilaoonline.com.br/lote/detalhe/148170", " GOV-047-2022. - APROX. 460 ITENS. - ROLAMENTO FAG, JOYSTICK SCHNEIDER, BUCHA PLASSER; E OUTROS, VEJA DESCRITIVO DE ITENS. - LOC. GOVERNADOR VALADARES/MG")</f>
      </c>
      <c r="C258" s="4" t="inlineStr">
        <is>
          <t>Não vendido</t>
        </is>
      </c>
      <c r="D258" s="4" t="inlineStr">
        <is>
          <t>5</t>
        </is>
      </c>
      <c r="E258" s="5" t="inlineStr">
        <is>
          <t>1.300,00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=HYPERLINK("https://leilaoonline.com.br/lote/detalhe/148172", "1426")</f>
      </c>
      <c r="B259" s="4" t="s">
        <f>=HYPERLINK("https://leilaoonline.com.br/lote/detalhe/148172", " GOV-048-2022. - APROX. 1745 ITENS. - MICRO CHAVE SCHNEIDER, PARAFUSO SEXTAVADO, COXIM DE BORRAHA; E OUTROS, VEJA DESCRITIVO DE ITENS. - LOC. GOVERNADOR VALADARES/MG ")</f>
      </c>
      <c r="C259" s="4" t="inlineStr">
        <is>
          <t>Não vendido</t>
        </is>
      </c>
      <c r="D259" s="4" t="inlineStr">
        <is>
          <t>18</t>
        </is>
      </c>
      <c r="E259" s="5" t="inlineStr">
        <is>
          <t>2.600,00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=HYPERLINK("https://leilaoonline.com.br/lote/detalhe/148171", "1427")</f>
      </c>
      <c r="B260" s="4" t="s">
        <f>=HYPERLINK("https://leilaoonline.com.br/lote/detalhe/148171", " GOV-049-2022. - APROX. 1341 ITENS. - PARAFUSO CAB SEXT 3/16POL, BUCHA RED FERR MAL 2.1/2POL, BOLA MOINHO 69 60MM; E OUTROS, VEJA DESCRITIVO DE ITENS. - LOC. GOVERNADOR VALADARES/MG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500,00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=HYPERLINK("https://leilaoonline.com.br/lote/detalhe/148173", "1428")</f>
      </c>
      <c r="B261" s="4" t="s">
        <f>=HYPERLINK("https://leilaoonline.com.br/lote/detalhe/148173", " GOV-052-2022. - APROX. 11 ITENS. - MAQUINA MOTO VIBRADOR PE DE PATO, VIBRADOR ELETRICO MANUAL; E OUTROS, VEJA DESCRITIVO DE ITENS. - LOC. GOVERNADOR VALADARES/MG")</f>
      </c>
      <c r="C261" s="4" t="inlineStr">
        <is>
          <t>Vendido</t>
        </is>
      </c>
      <c r="D261" s="4" t="inlineStr">
        <is>
          <t>8</t>
        </is>
      </c>
      <c r="E261" s="5" t="inlineStr">
        <is>
          <t>1.900,00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=HYPERLINK("https://leilaoonline.com.br/lote/detalhe/148628", "1450")</f>
      </c>
      <c r="B262" s="4" t="s">
        <f>=HYPERLINK("https://leilaoonline.com.br/lote/detalhe/148628", " FAB-096-2022 - APROX. 99 ITENS. - BRACKET 2350279 CATERPILLAR, PARAFUSO 805979 SCANIA, ANEL-RETENÇÃO; E OUTROS, VEJA DECRITIVO DE ITENS. - LOC. OURO PRETO/MG")</f>
      </c>
      <c r="C262" s="4" t="inlineStr">
        <is>
          <t>Vendido</t>
        </is>
      </c>
      <c r="D262" s="4" t="inlineStr">
        <is>
          <t>3</t>
        </is>
      </c>
      <c r="E262" s="5" t="inlineStr">
        <is>
          <t>700,00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=HYPERLINK("https://leilaoonline.com.br/lote/detalhe/148633", "1451")</f>
      </c>
      <c r="B263" s="4" t="s">
        <f>=HYPERLINK("https://leilaoonline.com.br/lote/detalhe/148633", " FAB-097-2022 - APROX. 210 ITENS. - CORREIA V 118135 HYSTER, CABO ELETR 6S1061 CATERPILLAR, PROTETOR 2390372 CATERPILLAR; E OUTROS, VEJA DESCRITIVO DE ITENS. - LOC. OURO PRETO/MG")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700,00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=HYPERLINK("https://leilaoonline.com.br/lote/detalhe/148620", "1452")</f>
      </c>
      <c r="B264" s="4" t="s">
        <f>=HYPERLINK("https://leilaoonline.com.br/lote/detalhe/148620", " FAB-098-2022 - APROX. 582 ITENS. - LUVA 9G5211 CATERPILLAR, CONEX 857356 CATERPILLAR, PARAFUSO CAB SEXT; E OUTROS, VEJA DESCRITIVO DE ITENS. - LOC.  OUROS PRETO/MG")</f>
      </c>
      <c r="C264" s="4" t="inlineStr">
        <is>
          <t>Vendido</t>
        </is>
      </c>
      <c r="D264" s="4" t="inlineStr">
        <is>
          <t>16</t>
        </is>
      </c>
      <c r="E264" s="5" t="inlineStr">
        <is>
          <t>2.700,00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=HYPERLINK("https://leilaoonline.com.br/lote/detalhe/148634", "1453")</f>
      </c>
      <c r="B265" s="4" t="s">
        <f>=HYPERLINK("https://leilaoonline.com.br/lote/detalhe/148634", " FAB-099-2022 - APROX. 532 ITENS. - CLIPE 7S3919 CATERPILLAR, PORCA 1801997 SCANIA, LONA DE FREIO; E OUTROS, VEJA DESCRITIVO DE ITENS. - LOC. OURO PRETO/MG")</f>
      </c>
      <c r="C265" s="4" t="inlineStr">
        <is>
          <t>Não vendido</t>
        </is>
      </c>
      <c r="D265" s="4" t="inlineStr">
        <is>
          <t>9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=HYPERLINK("https://leilaoonline.com.br/lote/detalhe/148629", "1454")</f>
      </c>
      <c r="B266" s="4" t="s">
        <f>=HYPERLINK("https://leilaoonline.com.br/lote/detalhe/148629", " FAB-101-2022 - APROX. 294 ITENS. - MANGUEIRA 2887315 CATERPILLAR, MANCAL 1V8240 CATERPILLAR, ANEL 6B8085 CATERPILLAR; E OUTROS, VEJA DESCRITIVO DE ITENS. - LOC. OURO PRETO/MG")</f>
      </c>
      <c r="C266" s="4" t="inlineStr">
        <is>
          <t>Vendido</t>
        </is>
      </c>
      <c r="D266" s="4" t="inlineStr">
        <is>
          <t>24</t>
        </is>
      </c>
      <c r="E266" s="5" t="inlineStr">
        <is>
          <t>4.200,00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=HYPERLINK("https://leilaoonline.com.br/lote/detalhe/148631", "1455")</f>
      </c>
      <c r="B267" s="4" t="s">
        <f>=HYPERLINK("https://leilaoonline.com.br/lote/detalhe/148631", " FAB-102-2022 - APROX. 500 ITENS. - REPARO 3015167 CATERPILLAR, SUPORTE 7E2713 CATERPILLAR, CINTA 1701148 CATERPILLAR; E OUTROS, VEJA DESCRITIVO DE ITENS. - LOC. OURO PRETO/MG")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500,00</t>
        </is>
      </c>
      <c r="F267" s="4" t="inlineStr">
        <is>
          <t>100.00</t>
        </is>
      </c>
    </row>
    <row collapsed="false" customFormat="false" customHeight="false" hidden="false" ht="12.1" outlineLevel="0" r="268">
      <c r="A268" s="5" t="s">
        <f>=HYPERLINK("https://leilaoonline.com.br/lote/detalhe/148635", "1456")</f>
      </c>
      <c r="B268" s="4" t="s">
        <f>=HYPERLINK("https://leilaoonline.com.br/lote/detalhe/148635", " FAB-103-2022 - APROX. 449 ITENS. - JUNTA 1106991 CATERPILLAR, BAR 6N2946 CATERPILLAR, MANCAL 24998 CEN; E OUTROS, VEJA DESCRITIVO DE ITENS. - LOC. OURO PRETO/MG")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500,00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=HYPERLINK("https://leilaoonline.com.br/lote/detalhe/148626", "1457")</f>
      </c>
      <c r="B269" s="4" t="s">
        <f>=HYPERLINK("https://leilaoonline.com.br/lote/detalhe/148626", " FAB-113-2022 - APROX. 368 ITENS. - FILTRO 3967087 CATERPILLAR, SUPORTE 1609814 CATERPILLAR, CHICOTE ELETR 1852337 CATERPILLAR; E OUTROS, VEJA DESCRITIVO DE ITENS. - LOC. OURO PRETO/MG")</f>
      </c>
      <c r="C269" s="4" t="inlineStr">
        <is>
          <t>Vendido</t>
        </is>
      </c>
      <c r="D269" s="4" t="inlineStr">
        <is>
          <t>3</t>
        </is>
      </c>
      <c r="E269" s="5" t="inlineStr">
        <is>
          <t>700,00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=HYPERLINK("https://leilaoonline.com.br/lote/detalhe/148627", "1458")</f>
      </c>
      <c r="B270" s="4" t="s">
        <f>=HYPERLINK("https://leilaoonline.com.br/lote/detalhe/148627", " FAB-114-2022 - APROX. 233 ITENS. - CLIPE 1004336 CATERPILLAR, SENSOR PRES 2482169 CATERPILLAR, FLN 6599441 BOBCAT; E OUTROS, VEJA DESCRITIVO DE ITENS. - LOC. OURO PRETO/MG  ")</f>
      </c>
      <c r="C270" s="4" t="inlineStr">
        <is>
          <t>Vendido</t>
        </is>
      </c>
      <c r="D270" s="4" t="inlineStr">
        <is>
          <t>3</t>
        </is>
      </c>
      <c r="E270" s="5" t="inlineStr">
        <is>
          <t>700,00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=HYPERLINK("https://leilaoonline.com.br/lote/detalhe/148624", "1459")</f>
      </c>
      <c r="B271" s="4" t="s">
        <f>=HYPERLINK("https://leilaoonline.com.br/lote/detalhe/148624", " FAB-120-2022 - APROX. 295 ITENS. - VARETA 2631227 CATERPILLAR, WASHER FLAT 1000 250 19, CONEX 9M7357 CATERPILLAR; E OUTROS, VEJA DESCRITIVO DE ITENS. - LOC. OURO PRETO/MG")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500,00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=HYPERLINK("https://leilaoonline.com.br/lote/detalhe/148621", "1460")</f>
      </c>
      <c r="B272" s="4" t="s">
        <f>=HYPERLINK("https://leilaoonline.com.br/lote/detalhe/148621", " FAB-123-2022 - APROX. 263 ITENS. - MANGUEIRA A0029977352 MERCEDES BENZ, VEDAC 922304 CATERPILLAR, PLACA ELETRONICA LIEBHERR; E OUTROS, VEJA DESCRITIVO DE ITENS. - LOC. OURO PRETO/MG")</f>
      </c>
      <c r="C272" s="4" t="inlineStr">
        <is>
          <t>Vendido</t>
        </is>
      </c>
      <c r="D272" s="4" t="inlineStr">
        <is>
          <t>4</t>
        </is>
      </c>
      <c r="E272" s="5" t="inlineStr">
        <is>
          <t>1.200,00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=HYPERLINK("https://leilaoonline.com.br/lote/detalhe/148632", "1461")</f>
      </c>
      <c r="B273" s="4" t="s">
        <f>=HYPERLINK("https://leilaoonline.com.br/lote/detalhe/148632", " FAB-124-2022 - APROX. 247 ITENS. - RETENTOR 1982948 CATERPILLAR, TAMPA 2302970 CATERPILLAR, MANGUEIRA 2887315 CATERPILLAR; E OUTROS, VEJA DESCRITIVO DE ITENS. - LOC. OURO PRETO/MG")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=HYPERLINK("https://leilaoonline.com.br/lote/detalhe/148623", "1462")</f>
      </c>
      <c r="B274" s="4" t="s">
        <f>=HYPERLINK("https://leilaoonline.com.br/lote/detalhe/148623", " FAB-125-2022 - APROX. 282 ITENS. - MANGUEIRA 1930048 CATERPILLAR, TELA 6E1473 CATERPILLAR, MANCAL 6E1364 CATERPILLAR; E OUTROS, VEJA DESCRITIVO DE ITENS. - LOC. OURO PRETO/MG")</f>
      </c>
      <c r="C274" s="4" t="inlineStr">
        <is>
          <t>Vendido</t>
        </is>
      </c>
      <c r="D274" s="4" t="inlineStr">
        <is>
          <t>10</t>
        </is>
      </c>
      <c r="E274" s="5" t="inlineStr">
        <is>
          <t>1.800,00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=HYPERLINK("https://leilaoonline.com.br/lote/detalhe/148625", "1463")</f>
      </c>
      <c r="B275" s="4" t="s">
        <f>=HYPERLINK("https://leilaoonline.com.br/lote/detalhe/148625", " FAB-126-2022 - APROX. 305 ITENS. - RESPIRO 85079409 SANDVIK, CORREIA 4P8088 CATERPILLAR, SCREW KOMATSU; E OUTROS, VEJA DESCRITIVO DE ITENS. - LOC. OURO PRETO/MG ")</f>
      </c>
      <c r="C275" s="4" t="inlineStr">
        <is>
          <t>Vendido</t>
        </is>
      </c>
      <c r="D275" s="4" t="inlineStr">
        <is>
          <t>16</t>
        </is>
      </c>
      <c r="E275" s="5" t="inlineStr">
        <is>
          <t>2.900,00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=HYPERLINK("https://leilaoonline.com.br/lote/detalhe/148622", "1464")</f>
      </c>
      <c r="B276" s="4" t="s">
        <f>=HYPERLINK("https://leilaoonline.com.br/lote/detalhe/148622", " FAB-127-2022 - APROX. 187 ITENS. - FILTRO COMBUS 1763776 SCANIA, CHAPA 1153580 CATERPILLAR, PARAFUSO 4L6454 CATERPILLAR; E OUTROS, VEJA DESCRITIVO DE ITENS. - LOC. OURO PRETO/MG")</f>
      </c>
      <c r="C276" s="4" t="inlineStr">
        <is>
          <t>Vendido</t>
        </is>
      </c>
      <c r="D276" s="4" t="inlineStr">
        <is>
          <t>13</t>
        </is>
      </c>
      <c r="E276" s="5" t="inlineStr">
        <is>
          <t>2.400,00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=HYPERLINK("https://leilaoonline.com.br/lote/detalhe/148630", "1465")</f>
      </c>
      <c r="B277" s="4" t="s">
        <f>=HYPERLINK("https://leilaoonline.com.br/lote/detalhe/148630", " FAB-153-2022 - 2 JOGOS DE REVESTIMENTO INTERNO 821B-22-06002 DESEN.- LOC. OURO PRETO/MG ")</f>
      </c>
      <c r="C277" s="4" t="inlineStr">
        <is>
          <t>Não vendido</t>
        </is>
      </c>
      <c r="D277" s="4" t="inlineStr">
        <is>
          <t>13</t>
        </is>
      </c>
      <c r="E277" s="5" t="inlineStr">
        <is>
          <t>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=HYPERLINK("https://leilaoonline.com.br/lote/detalhe/148646", "1466")</f>
      </c>
      <c r="B278" s="4" t="s">
        <f>=HYPERLINK("https://leilaoonline.com.br/lote/detalhe/148646", " GOV-026-2022-RG117-134 - APROX. 699 ITENS. - LUVA 1250304233 PLASSER, PLACA UD190387 PLASSER,FIXADOR EMI190308 PLASSER; E OUTROS, VEJA DESCRITIVO DE ITENS. - LOC. GOVERNADOR VALADARES/MG ")</f>
      </c>
      <c r="C278" s="4" t="inlineStr">
        <is>
          <t>Vendido</t>
        </is>
      </c>
      <c r="D278" s="4" t="inlineStr">
        <is>
          <t>8</t>
        </is>
      </c>
      <c r="E278" s="5" t="inlineStr">
        <is>
          <t>1.400,00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=HYPERLINK("https://leilaoonline.com.br/lote/detalhe/148642", "1467")</f>
      </c>
      <c r="B279" s="4" t="s">
        <f>=HYPERLINK("https://leilaoonline.com.br/lote/detalhe/148642", " GOV-050-2022 - 3 SOCADORAS PE DE PATO GEISMAR, 1 GERADOR BRANCO / MODELO B4T-2500 S / 2,2 KVA, 1 MOTO ESMERIL DE COLUNA. -  LOC. GOVERNADOR VALADARES/MG ")</f>
      </c>
      <c r="C279" s="4" t="inlineStr">
        <is>
          <t>Não vendido</t>
        </is>
      </c>
      <c r="D279" s="4" t="inlineStr">
        <is>
          <t>7</t>
        </is>
      </c>
      <c r="E279" s="5" t="inlineStr">
        <is>
          <t>1.100,00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=HYPERLINK("https://leilaoonline.com.br/lote/detalhe/148637", "1468")</f>
      </c>
      <c r="B280" s="4" t="s">
        <f>=HYPERLINK("https://leilaoonline.com.br/lote/detalhe/148637", " GOV-051-2022 - 12 CADEIRAS STAFF COM RODINHA, 2 CONJUNTOS DE CADEIRAS. - GOVERNADOR VALADARES/MG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=HYPERLINK("https://leilaoonline.com.br/lote/detalhe/148647", "1469")</f>
      </c>
      <c r="B281" s="4" t="s">
        <f>=HYPERLINK("https://leilaoonline.com.br/lote/detalhe/148647", " GOV-055-2022 - GERADOR HONDA EP6500 CXS TIPO LDC HONDA. - GOVERNADOR VALADARES/MG ")</f>
      </c>
      <c r="C281" s="4" t="inlineStr">
        <is>
          <t>Não vendido</t>
        </is>
      </c>
      <c r="D281" s="4" t="inlineStr">
        <is>
          <t>4</t>
        </is>
      </c>
      <c r="E281" s="5" t="inlineStr">
        <is>
          <t>800,00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=HYPERLINK("https://leilaoonline.com.br/lote/detalhe/148640", "1470")</f>
      </c>
      <c r="B282" s="4" t="s">
        <f>=HYPERLINK("https://leilaoonline.com.br/lote/detalhe/148640", " GOV-061-2022 - APROX. 223 ITENS. - DISJUNTOR 16A, MOTOR COMBUST DIES 4CILIND 85CV, PORCA 12MM;  E OUTROS, VEJA DESCRITIVO DE ITENS. - LOC. GOVERNADOR VALADARES/MG  ")</f>
      </c>
      <c r="C282" s="4" t="inlineStr">
        <is>
          <t>Vendido</t>
        </is>
      </c>
      <c r="D282" s="4" t="inlineStr">
        <is>
          <t>5</t>
        </is>
      </c>
      <c r="E282" s="5" t="inlineStr">
        <is>
          <t>12.100,00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=HYPERLINK("https://leilaoonline.com.br/lote/detalhe/148636", "1471")</f>
      </c>
      <c r="B283" s="4" t="s">
        <f>=HYPERLINK("https://leilaoonline.com.br/lote/detalhe/148636", " GOV-062-2022 - 6 CADEIRA REUNIAO ESTOF. ESPALD MED GIRAT C/ BRACOS, 2 POLTRONA P/ ESPERA SOBRE LONGARINA C/ 02 LUGARES. -  LOC. GOVERNADOR VALADARES/MG")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500,00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=HYPERLINK("https://leilaoonline.com.br/lote/detalhe/148658", "1472")</f>
      </c>
      <c r="B284" s="4" t="s">
        <f>=HYPERLINK("https://leilaoonline.com.br/lote/detalhe/148658", " ITA-074-2022 - 24 MAQUINAS DE SOLDAS DIVERSAS, VEJA DESCRITIVO DE ITENS. - LOC. ITABIRA/MG")</f>
      </c>
      <c r="C284" s="4" t="inlineStr">
        <is>
          <t>Vendido</t>
        </is>
      </c>
      <c r="D284" s="4" t="inlineStr">
        <is>
          <t>79</t>
        </is>
      </c>
      <c r="E284" s="5" t="inlineStr">
        <is>
          <t>30.100,00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=HYPERLINK("https://leilaoonline.com.br/lote/detalhe/148649", "1473")</f>
      </c>
      <c r="B285" s="4" t="s">
        <f>=HYPERLINK("https://leilaoonline.com.br/lote/detalhe/148649", " ITA-075-2022 - ESTUFA ACO PALLEY,MOD.E-122,1 PORT.220. - LOC. ITABIRA/MG 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=HYPERLINK("https://leilaoonline.com.br/lote/detalhe/148645", "1474")</f>
      </c>
      <c r="B286" s="4" t="s">
        <f>=HYPERLINK("https://leilaoonline.com.br/lote/detalhe/148645", " ITA-076-2022 - APROX. 727 ITENS - POLIA 6N4399 CATERPILLAR, CABLE 2657396012 ATLASCOPCO, BUCHA. 1294487 CATERPILLAR, E OUTROS, VEJA DECSRITIVO DE ITENS. - LOC. ITABIRA/MG")</f>
      </c>
      <c r="C286" s="4" t="inlineStr">
        <is>
          <t>Não vendido</t>
        </is>
      </c>
      <c r="D286" s="4" t="inlineStr">
        <is>
          <t>4</t>
        </is>
      </c>
      <c r="E286" s="5" t="inlineStr">
        <is>
          <t>1.200,00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=HYPERLINK("https://leilaoonline.com.br/lote/detalhe/148641", "1475")</f>
      </c>
      <c r="B287" s="4" t="s">
        <f>=HYPERLINK("https://leilaoonline.com.br/lote/detalhe/148641", " ITA-085-2022 - APROX. 773 ITENS - MOTOR DE PARTIDA KOMATSU, VEDAC 1521235 CATERPILLAR, DIFUSOR DE AR D375; E OUTROS, VEJA DECSRITIVO DE ITENS. - LOC. ITABIRA/MG  ")</f>
      </c>
      <c r="C287" s="4" t="inlineStr">
        <is>
          <t>Vendido</t>
        </is>
      </c>
      <c r="D287" s="4" t="inlineStr">
        <is>
          <t>51</t>
        </is>
      </c>
      <c r="E287" s="5" t="inlineStr">
        <is>
          <t>14.200,00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=HYPERLINK("https://leilaoonline.com.br/lote/detalhe/148638", "1476")</f>
      </c>
      <c r="B288" s="4" t="s">
        <f>=HYPERLINK("https://leilaoonline.com.br/lote/detalhe/148638", " ITA-086-2022 - APROX. 433 ITENS - TUBO BOMBA HIDRAULICA, MANGUEIRA 3086024 CUMMINS,FUSIVEL 50A 4160V;  E OUTROS, VEJA DECSRITIVO DE ITENS. - LOC. ITABIRA/MG")</f>
      </c>
      <c r="C288" s="4" t="inlineStr">
        <is>
          <t>Vendido</t>
        </is>
      </c>
      <c r="D288" s="4" t="inlineStr">
        <is>
          <t>22</t>
        </is>
      </c>
      <c r="E288" s="5" t="inlineStr">
        <is>
          <t>4.500,00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=HYPERLINK("https://leilaoonline.com.br/lote/detalhe/148653", "1477")</f>
      </c>
      <c r="B289" s="4" t="s">
        <f>=HYPERLINK("https://leilaoonline.com.br/lote/detalhe/148653", " JAIBA-013-2022 - 60 Itens Bobina / Carretel 190/100. - LOC. JAIBA/MG")</f>
      </c>
      <c r="C289" s="4" t="inlineStr">
        <is>
          <t>Vendido</t>
        </is>
      </c>
      <c r="D289" s="4" t="inlineStr">
        <is>
          <t>2</t>
        </is>
      </c>
      <c r="E289" s="5" t="inlineStr">
        <is>
          <t>40,00</t>
        </is>
      </c>
      <c r="F289" s="4" t="inlineStr">
        <is>
          <t>10.00</t>
        </is>
      </c>
    </row>
    <row collapsed="false" customFormat="false" customHeight="false" hidden="false" ht="12.1" outlineLevel="0" r="290">
      <c r="A290" s="5" t="s">
        <f>=HYPERLINK("https://leilaoonline.com.br/lote/detalhe/148657", "1478")</f>
      </c>
      <c r="B290" s="4" t="s">
        <f>=HYPERLINK("https://leilaoonline.com.br/lote/detalhe/148657", " ACA-EQ-007-2022 - CONDICIONADOR DE AR; 18000BTUS SPLIT;38KCR18M5. - LOC. AÇAILÂNDIA/MA")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500,00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=HYPERLINK("https://leilaoonline.com.br/lote/detalhe/148643", "1479")</f>
      </c>
      <c r="B291" s="4" t="s">
        <f>=HYPERLINK("https://leilaoonline.com.br/lote/detalhe/148643", " CD-035-2022 - APROX. 247 ITENS. - ROTOR AX167501 WEIR, COROA 100E-25-00011-2 SUMIN, EIXO 139E-46-01145 SUMIN; E OUTROS, VEJA DECSRITIVO DE ITENS. - LOC. BARÃO DOS COCAIS/MG")</f>
      </c>
      <c r="C291" s="4" t="inlineStr">
        <is>
          <t>Vendido</t>
        </is>
      </c>
      <c r="D291" s="4" t="inlineStr">
        <is>
          <t>35</t>
        </is>
      </c>
      <c r="E291" s="5" t="inlineStr">
        <is>
          <t>7.300,00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=HYPERLINK("https://leilaoonline.com.br/lote/detalhe/148652", "1480")</f>
      </c>
      <c r="B292" s="4" t="s">
        <f>=HYPERLINK("https://leilaoonline.com.br/lote/detalhe/148652", " ACA-EQ-008-2022 -  MAQUINA DE SOLDA INVERSORA; RIV222DIGITAL; VONDER. - LOC. AÇAILÂNDIA/MA")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500,00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=HYPERLINK("https://leilaoonline.com.br/lote/detalhe/148644", "1481")</f>
      </c>
      <c r="B293" s="4" t="s">
        <f>=HYPERLINK("https://leilaoonline.com.br/lote/detalhe/148644", " CD-081-2022 - APROX. 8809 ITENS. - REVESTIMENTO AT162501 WEIR, ANEL 14899 BOZZA, DIFUSOR ETA10050/2-171 KSB; E OUTROS, VEJA DESCRITIVO DE ITENS. - LOC. BARÃO DOS COCAIS/MG")</f>
      </c>
      <c r="C293" s="4" t="inlineStr">
        <is>
          <t>Vendido</t>
        </is>
      </c>
      <c r="D293" s="4" t="inlineStr">
        <is>
          <t>86</t>
        </is>
      </c>
      <c r="E293" s="5" t="inlineStr">
        <is>
          <t>21.600,00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=HYPERLINK("https://leilaoonline.com.br/lote/detalhe/148648", "1482")</f>
      </c>
      <c r="B294" s="4" t="s">
        <f>=HYPERLINK("https://leilaoonline.com.br/lote/detalhe/148648", " CD-170-2022 - APROX. 4511 ITENS - RELE R4119992 JOY GLOBAL, PLACA SINALIZ 90 X 315 MM, ROLAMENTO ESF 6016 SKF; E OUTROS, VEJA DESCRITIVO DE ITENS. - LOC. BARÃO DOS COCAIS/MG")</f>
      </c>
      <c r="C294" s="4" t="inlineStr">
        <is>
          <t>Não vendido</t>
        </is>
      </c>
      <c r="D294" s="4" t="inlineStr">
        <is>
          <t>32</t>
        </is>
      </c>
      <c r="E294" s="5" t="inlineStr">
        <is>
          <t>12.650,00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=HYPERLINK("https://leilaoonline.com.br/lote/detalhe/148656", "1483")</f>
      </c>
      <c r="B295" s="4" t="s">
        <f>=HYPERLINK("https://leilaoonline.com.br/lote/detalhe/148656", " CKS-ATI-071-2022 - 5 TALHAS ELETRICAS DIVERSAS; VEJA DESCRITIVO DE ITENS. - LOC. CARAJÁS/PA")</f>
      </c>
      <c r="C295" s="4" t="inlineStr">
        <is>
          <t>Não vendido</t>
        </is>
      </c>
      <c r="D295" s="4" t="inlineStr">
        <is>
          <t>167</t>
        </is>
      </c>
      <c r="E295" s="5" t="inlineStr">
        <is>
          <t>68.600,00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=HYPERLINK("https://leilaoonline.com.br/lote/detalhe/148691", "1484")</f>
      </c>
      <c r="B296" s="4" t="s">
        <f>=HYPERLINK("https://leilaoonline.com.br/lote/detalhe/148691", " CKS-MRO-082-2022 - APROX. 12 ITENS. - MOTOREDUTOR FE-152K-13-6001 CVRD, CILINDRO HIDR DUP ACAO 400MM; E OUTROS, VEJA DESCRITIVO DE ITENS. - LOC. CARAJÁS/PA  ")</f>
      </c>
      <c r="C296" s="4" t="inlineStr">
        <is>
          <t>Não vendido</t>
        </is>
      </c>
      <c r="D296" s="4" t="inlineStr">
        <is>
          <t>37</t>
        </is>
      </c>
      <c r="E296" s="5" t="inlineStr">
        <is>
          <t>10.350,00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=HYPERLINK("https://leilaoonline.com.br/lote/detalhe/148654", "1485")</f>
      </c>
      <c r="B297" s="4" t="s">
        <f>=HYPERLINK("https://leilaoonline.com.br/lote/detalhe/148654", " MRB-EQ-004-2022 - 2 LAVADORAS DE ALTA PRESSÃO 440V HD 12/15 S NORTEL KARCHER. - LOC. MARABÁ/PA")</f>
      </c>
      <c r="C297" s="4" t="inlineStr">
        <is>
          <t>Não vendido</t>
        </is>
      </c>
      <c r="D297" s="4" t="inlineStr">
        <is>
          <t>6</t>
        </is>
      </c>
      <c r="E297" s="5" t="inlineStr">
        <is>
          <t>1.000,00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=HYPERLINK("https://leilaoonline.com.br/lote/detalhe/148660", "1486")</f>
      </c>
      <c r="B298" s="4" t="s">
        <f>=HYPERLINK("https://leilaoonline.com.br/lote/detalhe/148660", " MRB-MRO-003-2022 - 2 ELEMENTOS FILTRO FLUIDO SF400W100BS2F65 S, 5 TRANSFORMADORES S-1.95.3 PLASSER, 11 SAPATAS. - LOC. MARABÁ/PA")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500,00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=HYPERLINK("https://leilaoonline.com.br/lote/detalhe/148655", "1487")</f>
      </c>
      <c r="B299" s="4" t="s">
        <f>=HYPERLINK("https://leilaoonline.com.br/lote/detalhe/148655", " MRB-MRO-008-2022 - APROX. 63 ITENS. - LANTERNA LED BIVOLT, JUNTA 1421825 SCANIA, VEDACAO PLANA; E OUTROS, VEJA DESCRITIVO DE ITENS. - LOC. MARABÁ/PA")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500,00</t>
        </is>
      </c>
      <c r="F299" s="4" t="inlineStr">
        <is>
          <t>100.00</t>
        </is>
      </c>
    </row>
    <row collapsed="false" customFormat="false" customHeight="false" hidden="false" ht="12.1" outlineLevel="0" r="300">
      <c r="A300" s="5" t="s">
        <f>=HYPERLINK("https://leilaoonline.com.br/lote/detalhe/148662", "1488")</f>
      </c>
      <c r="B300" s="4" t="s">
        <f>=HYPERLINK("https://leilaoonline.com.br/lote/detalhe/148662", " MUT-025-2022 - APROX. 262 ITENS. - ANEL 1530106 SCANIA, BUJAO 813202 SCANIA, BATENTE 1324366 SCANIA; E OUTROS, VEJA DESCRITIVO DE ITENS. - LOC. NOVA LIMA/MG")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500,00</t>
        </is>
      </c>
      <c r="F300" s="4" t="inlineStr">
        <is>
          <t>100.00</t>
        </is>
      </c>
    </row>
    <row collapsed="false" customFormat="false" customHeight="false" hidden="false" ht="12.1" outlineLevel="0" r="301">
      <c r="A301" s="5" t="s">
        <f>=HYPERLINK("https://leilaoonline.com.br/lote/detalhe/148651", "1489")</f>
      </c>
      <c r="B301" s="4" t="s">
        <f>=HYPERLINK("https://leilaoonline.com.br/lote/detalhe/148651", " MUT-060-2022 - APROX. 174 ITENS. - MANGUEIRA 9935645 LIEBHERR, PARAFUSO S1594 CATERPILLAR, TUBO 3368179 CATERPILLAR,  E OUTROS, VEJA DESCRITIVO DE ITENS. - LOC. NOVA LIMA/MG")</f>
      </c>
      <c r="C301" s="4" t="inlineStr">
        <is>
          <t>Vendido</t>
        </is>
      </c>
      <c r="D301" s="4" t="inlineStr">
        <is>
          <t>20</t>
        </is>
      </c>
      <c r="E301" s="5" t="inlineStr">
        <is>
          <t>3.000,00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=HYPERLINK("https://leilaoonline.com.br/lote/detalhe/148650", "1490")</f>
      </c>
      <c r="B302" s="4" t="s">
        <f>=HYPERLINK("https://leilaoonline.com.br/lote/detalhe/148650", " 082-149-2022 - 01 ROLAMENTO GIRO 010.60.2544.000.11.1502 T , LOC. VITÓRIA/ES")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4.000,00</t>
        </is>
      </c>
      <c r="F302" s="4" t="inlineStr">
        <is>
          <t>250.00</t>
        </is>
      </c>
    </row>
    <row collapsed="false" customFormat="false" customHeight="false" hidden="false" ht="12.1" outlineLevel="0" r="303">
      <c r="A303" s="5" t="s">
        <f>=HYPERLINK("https://leilaoonline.com.br/lote/detalhe/148659", "1491")</f>
      </c>
      <c r="B303" s="4" t="s">
        <f>=HYPERLINK("https://leilaoonline.com.br/lote/detalhe/148659", " 082-228-2022 - APROX. 62 ITENS, FILTROS FLUIDOS, COLMEIA E OUTROS - VEJA DESCRITIVO DE ITENS - LOC.VITÓRIA/ES")</f>
      </c>
      <c r="C303" s="4" t="inlineStr">
        <is>
          <t>Vendido</t>
        </is>
      </c>
      <c r="D303" s="4" t="inlineStr">
        <is>
          <t>21</t>
        </is>
      </c>
      <c r="E303" s="5" t="inlineStr">
        <is>
          <t>5.250,00</t>
        </is>
      </c>
      <c r="F303" s="4" t="inlineStr">
        <is>
          <t>250.00</t>
        </is>
      </c>
    </row>
    <row collapsed="false" customFormat="false" customHeight="false" hidden="false" ht="12.1" outlineLevel="0" r="304">
      <c r="A304" s="5" t="s">
        <f>=HYPERLINK("https://leilaoonline.com.br/lote/detalhe/148639", "1492")</f>
      </c>
      <c r="B304" s="4" t="s">
        <f>=HYPERLINK("https://leilaoonline.com.br/lote/detalhe/148639", " 082-320-2022- APROX.  2857 ITENS, ROLAMENTOS, ANEIS, TAMPAS  E OUTROS - VEJA DESCRITIVO DE ITENS - LOC.VITÓRIA/ES")</f>
      </c>
      <c r="C304" s="4" t="inlineStr">
        <is>
          <t>Não vendido</t>
        </is>
      </c>
      <c r="D304" s="4" t="inlineStr">
        <is>
          <t>30</t>
        </is>
      </c>
      <c r="E304" s="5" t="inlineStr">
        <is>
          <t>8.500,00</t>
        </is>
      </c>
      <c r="F304" s="4" t="inlineStr">
        <is>
          <t>500.00</t>
        </is>
      </c>
    </row>
    <row collapsed="false" customFormat="false" customHeight="false" hidden="false" ht="12.1" outlineLevel="0" r="305">
      <c r="A305" s="5" t="s">
        <f>=HYPERLINK("https://leilaoonline.com.br/lote/detalhe/148671", "1493")</f>
      </c>
      <c r="B305" s="4" t="s">
        <f>=HYPERLINK("https://leilaoonline.com.br/lote/detalhe/148671", " 082-324-2022- APROX.  389 ITENS, DISJUNTOR, MOLAS, EIXOS E  OUTROS - VEJA DESCRITIVO DE ITENS - LOC.VITÓRIA/ES")</f>
      </c>
      <c r="C305" s="4" t="inlineStr">
        <is>
          <t>Não vendido</t>
        </is>
      </c>
      <c r="D305" s="4" t="inlineStr">
        <is>
          <t>38</t>
        </is>
      </c>
      <c r="E305" s="5" t="inlineStr">
        <is>
          <t>9.250,00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=HYPERLINK("https://leilaoonline.com.br/lote/detalhe/148661", "1494")</f>
      </c>
      <c r="B306" s="4" t="s">
        <f>=HYPERLINK("https://leilaoonline.com.br/lote/detalhe/148661", " 082-333-2022 -  APROX. 472 ITENS, VALVULA COMPONENTE DIVERSAS,  VEJA DESCRITIVO DE ITENS - LOC.VITÓRIA/ES")</f>
      </c>
      <c r="C306" s="4" t="inlineStr">
        <is>
          <t>Não vendido</t>
        </is>
      </c>
      <c r="D306" s="4" t="inlineStr">
        <is>
          <t>23</t>
        </is>
      </c>
      <c r="E306" s="5" t="inlineStr">
        <is>
          <t>4.200,00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=HYPERLINK("https://leilaoonline.com.br/lote/detalhe/148665", "1495")</f>
      </c>
      <c r="B307" s="4" t="s">
        <f>=HYPERLINK("https://leilaoonline.com.br/lote/detalhe/148665", " 082-336-2022 - APROX.  2992 ITENS, LENTES, CASQUILHOS, VEJA DESCRITIVO DE ITENS - LOC.VITÓRIA/ES")</f>
      </c>
      <c r="C307" s="4" t="inlineStr">
        <is>
          <t>Vendido</t>
        </is>
      </c>
      <c r="D307" s="4" t="inlineStr">
        <is>
          <t>8</t>
        </is>
      </c>
      <c r="E307" s="5" t="inlineStr">
        <is>
          <t>1.500,00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=HYPERLINK("https://leilaoonline.com.br/lote/detalhe/148681", "1496")</f>
      </c>
      <c r="B308" s="4" t="s">
        <f>=HYPERLINK("https://leilaoonline.com.br/lote/detalhe/148681", " 082-338-2022- APROX.187 ITENS, CONECTORES,PINOS , ANEIS  E  OUTROS - VEJA DESCRITIVO DE ITENS - LOC.VITÓRIA/ES")</f>
      </c>
      <c r="C308" s="4" t="inlineStr">
        <is>
          <t>Vendido</t>
        </is>
      </c>
      <c r="D308" s="4" t="inlineStr">
        <is>
          <t>4</t>
        </is>
      </c>
      <c r="E308" s="5" t="inlineStr">
        <is>
          <t>800,00</t>
        </is>
      </c>
      <c r="F308" s="4" t="inlineStr">
        <is>
          <t>100.00</t>
        </is>
      </c>
    </row>
    <row collapsed="false" customFormat="false" customHeight="false" hidden="false" ht="12.1" outlineLevel="0" r="309">
      <c r="A309" s="5" t="s">
        <f>=HYPERLINK("https://leilaoonline.com.br/lote/detalhe/148674", "1497")</f>
      </c>
      <c r="B309" s="4" t="s">
        <f>=HYPERLINK("https://leilaoonline.com.br/lote/detalhe/148674", " 082-346-2022 - 01 CJ ANEL COLET. 30.09210 EMH, LOC. VITÓRIA/ES")</f>
      </c>
      <c r="C309" s="4" t="inlineStr">
        <is>
          <t>Vendido</t>
        </is>
      </c>
      <c r="D309" s="4" t="inlineStr">
        <is>
          <t>2</t>
        </is>
      </c>
      <c r="E309" s="5" t="inlineStr">
        <is>
          <t>600,00</t>
        </is>
      </c>
      <c r="F309" s="4" t="inlineStr">
        <is>
          <t>100.00</t>
        </is>
      </c>
    </row>
    <row collapsed="false" customFormat="false" customHeight="false" hidden="false" ht="12.1" outlineLevel="0" r="310">
      <c r="A310" s="5" t="s">
        <f>=HYPERLINK("https://leilaoonline.com.br/lote/detalhe/148668", "1498")</f>
      </c>
      <c r="B310" s="4" t="s">
        <f>=HYPERLINK("https://leilaoonline.com.br/lote/detalhe/148668", " 082-367-2022 - APROX. 5735 ITENS, PARAFUSOS, CAIXAS, ANEIS  E  OUTROS - VEJA DESCRITIVO DE ITENS - LOC.VITÓRIA/ES")</f>
      </c>
      <c r="C310" s="4" t="inlineStr">
        <is>
          <t>Vendido</t>
        </is>
      </c>
      <c r="D310" s="4" t="inlineStr">
        <is>
          <t>2</t>
        </is>
      </c>
      <c r="E310" s="5" t="inlineStr">
        <is>
          <t>700,00</t>
        </is>
      </c>
      <c r="F310" s="4" t="inlineStr">
        <is>
          <t>100.00</t>
        </is>
      </c>
    </row>
    <row collapsed="false" customFormat="false" customHeight="false" hidden="false" ht="12.1" outlineLevel="0" r="311">
      <c r="A311" s="5" t="s">
        <f>=HYPERLINK("https://leilaoonline.com.br/lote/detalhe/148672", "1499")</f>
      </c>
      <c r="B311" s="4" t="s">
        <f>=HYPERLINK("https://leilaoonline.com.br/lote/detalhe/148672", " 082-370-2022- APROX. 130 ITENS, MANGUEIRAS, VIDROS, RETIFICADOR  E  OUTROS - VEJA DESCRITIVO DE ITENS - LOC.VITÓRIA/ES")</f>
      </c>
      <c r="C311" s="4" t="inlineStr">
        <is>
          <t>Vendido</t>
        </is>
      </c>
      <c r="D311" s="4" t="inlineStr">
        <is>
          <t>6</t>
        </is>
      </c>
      <c r="E311" s="5" t="inlineStr">
        <is>
          <t>1.000,00</t>
        </is>
      </c>
      <c r="F311" s="4" t="inlineStr">
        <is>
          <t>100.00</t>
        </is>
      </c>
    </row>
    <row collapsed="false" customFormat="false" customHeight="false" hidden="false" ht="12.1" outlineLevel="0" r="312">
      <c r="A312" s="5" t="s">
        <f>=HYPERLINK("https://leilaoonline.com.br/lote/detalhe/148664", "1500")</f>
      </c>
      <c r="B312" s="4" t="s">
        <f>=HYPERLINK("https://leilaoonline.com.br/lote/detalhe/148664", " 082-372-2022- APROX. 78 ITENS, ELEMENTOS FILTROS, ANEIS, LANTERNAS E  OUTROS - VEJA DESCRITIVO DE ITENS - LOC.VITÓRIA/ES")</f>
      </c>
      <c r="C312" s="4" t="inlineStr">
        <is>
          <t>Vendido</t>
        </is>
      </c>
      <c r="D312" s="4" t="inlineStr">
        <is>
          <t>8</t>
        </is>
      </c>
      <c r="E312" s="5" t="inlineStr">
        <is>
          <t>1.300,00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=HYPERLINK("https://leilaoonline.com.br/lote/detalhe/148687", "1501")</f>
      </c>
      <c r="B313" s="4" t="s">
        <f>=HYPERLINK("https://leilaoonline.com.br/lote/detalhe/148687", " 082-416-2022 - 01 CÂMERA FOTOGRAFICA DIGITAL; MOD.FINEPIX PRETA; MARCA FUJFILM; Nº DE SÉRIE 2PM12015; ANO 2014; - LOC. VITORIA/ ES 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500,00</t>
        </is>
      </c>
      <c r="F313" s="4" t="inlineStr">
        <is>
          <t>100.00</t>
        </is>
      </c>
    </row>
    <row collapsed="false" customFormat="false" customHeight="false" hidden="false" ht="12.1" outlineLevel="0" r="314">
      <c r="A314" s="5" t="s">
        <f>=HYPERLINK("https://leilaoonline.com.br/lote/detalhe/148670", "1502")</f>
      </c>
      <c r="B314" s="4" t="s">
        <f>=HYPERLINK("https://leilaoonline.com.br/lote/detalhe/148670", " 082-430-2022 - APROX. 2991 ITENS, PLACAS, CABOS, REATOR  E  OUTROS - VEJA DESCRITIVO DE ITENS - LOC.VITÓRIA/ES")</f>
      </c>
      <c r="C314" s="4" t="inlineStr">
        <is>
          <t>Vendido</t>
        </is>
      </c>
      <c r="D314" s="4" t="inlineStr">
        <is>
          <t>24</t>
        </is>
      </c>
      <c r="E314" s="5" t="inlineStr">
        <is>
          <t>5.200,00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=HYPERLINK("https://leilaoonline.com.br/lote/detalhe/148666", "1503")</f>
      </c>
      <c r="B315" s="4" t="s">
        <f>=HYPERLINK("https://leilaoonline.com.br/lote/detalhe/148666", " 082-431-2022- APROX. 2153 ITENS, PROJETORES, REATORES , BUCHAS  E  OUTROS - VEJA DESCRITIVO DE ITENS - LOC.VITÓRIA/ES")</f>
      </c>
      <c r="C315" s="4" t="inlineStr">
        <is>
          <t>Vendido</t>
        </is>
      </c>
      <c r="D315" s="4" t="inlineStr">
        <is>
          <t>46</t>
        </is>
      </c>
      <c r="E315" s="5" t="inlineStr">
        <is>
          <t>9.300,00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=HYPERLINK("https://leilaoonline.com.br/lote/detalhe/148663", "1504")</f>
      </c>
      <c r="B316" s="4" t="s">
        <f>=HYPERLINK("https://leilaoonline.com.br/lote/detalhe/148663", " 082-434-2022 - APROX. 349 ITENS, CURVA METALICA, CABOS , KIT FILTROS  E  OUTROS - VEJA DESCRITIVO DE ITENS - LOC.VITÓRIA/ES")</f>
      </c>
      <c r="C316" s="4" t="inlineStr">
        <is>
          <t>Vendido</t>
        </is>
      </c>
      <c r="D316" s="4" t="inlineStr">
        <is>
          <t>17</t>
        </is>
      </c>
      <c r="E316" s="5" t="inlineStr">
        <is>
          <t>4.000,00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=HYPERLINK("https://leilaoonline.com.br/lote/detalhe/148667", "1505")</f>
      </c>
      <c r="B317" s="4" t="s">
        <f>=HYPERLINK("https://leilaoonline.com.br/lote/detalhe/148667", " 082-437-2022 - APROX. 1091 ITENS, LUVAS , CHAPAS , PLACAS E OUTROS - VEJA DESCRITIVO DE ITENS - LOC.VITÓRIA/ES")</f>
      </c>
      <c r="C317" s="4" t="inlineStr">
        <is>
          <t>Não vendido</t>
        </is>
      </c>
      <c r="D317" s="4" t="inlineStr">
        <is>
          <t>32</t>
        </is>
      </c>
      <c r="E317" s="5" t="inlineStr">
        <is>
          <t>7.000,00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=HYPERLINK("https://leilaoonline.com.br/lote/detalhe/148006", "1506")</f>
      </c>
      <c r="B318" s="4" t="s">
        <f>=HYPERLINK("https://leilaoonline.com.br/lote/detalhe/148006", " 082-222-2022- APROX. 4746 ITENS. - PORTA ESCOVA,BOMBA,RETROVISOR COMPONENTE E OUTROS-VEJA DESCRITIVO DE ITENS.-LOC VITÓRIA/ES")</f>
      </c>
      <c r="C318" s="4" t="inlineStr">
        <is>
          <t>Não vendido</t>
        </is>
      </c>
      <c r="D318" s="4" t="inlineStr">
        <is>
          <t>16</t>
        </is>
      </c>
      <c r="E318" s="5" t="inlineStr">
        <is>
          <t>19.500,00</t>
        </is>
      </c>
      <c r="F318" s="4" t="inlineStr">
        <is>
          <t>500.00</t>
        </is>
      </c>
    </row>
    <row collapsed="false" customFormat="false" customHeight="false" hidden="false" ht="12.1" outlineLevel="0" r="319">
      <c r="A319" s="5" t="s">
        <f>=HYPERLINK("https://leilaoonline.com.br/lote/detalhe/148675", "1507")</f>
      </c>
      <c r="B319" s="4" t="s">
        <f>=HYPERLINK("https://leilaoonline.com.br/lote/detalhe/148675", " 082-442-2022- APROX. 09 ITENS, SEGMENTOS COMPONENTES, EIXOS  E  OUTROS - VEJA DESCRITIVO DE ITENS - LOC.VITÓRIA/ES")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500,00</t>
        </is>
      </c>
      <c r="F319" s="4" t="inlineStr">
        <is>
          <t>100.00</t>
        </is>
      </c>
    </row>
    <row collapsed="false" customFormat="false" customHeight="false" hidden="false" ht="12.1" outlineLevel="0" r="320">
      <c r="A320" s="5" t="s">
        <f>=HYPERLINK("https://leilaoonline.com.br/lote/detalhe/148673", "1508")</f>
      </c>
      <c r="B320" s="4" t="s">
        <f>=HYPERLINK("https://leilaoonline.com.br/lote/detalhe/148673", " 082-443-2022- APROX. 310 ITENS, MODULOS, MOTORES, ROLOS E  OUTROS - VEJA DESCRITIVO DE ITENS - LOC.VITÓRIA/ES")</f>
      </c>
      <c r="C320" s="4" t="inlineStr">
        <is>
          <t>Vendido</t>
        </is>
      </c>
      <c r="D320" s="4" t="inlineStr">
        <is>
          <t>50</t>
        </is>
      </c>
      <c r="E320" s="5" t="inlineStr">
        <is>
          <t>11.800,00</t>
        </is>
      </c>
      <c r="F320" s="4" t="inlineStr">
        <is>
          <t>500.00</t>
        </is>
      </c>
    </row>
    <row collapsed="false" customFormat="false" customHeight="false" hidden="false" ht="12.1" outlineLevel="0" r="321">
      <c r="A321" s="5" t="s">
        <f>=HYPERLINK("https://leilaoonline.com.br/lote/detalhe/148685", "1509")</f>
      </c>
      <c r="B321" s="4" t="s">
        <f>=HYPERLINK("https://leilaoonline.com.br/lote/detalhe/148685", " 082-444-2022- 14  REVESTIMENTOS COMPONENTES DIVERSOS, VEJA DESCRITIVO DE ITENS - LOC.VITÓRIA/ES")</f>
      </c>
      <c r="C321" s="4" t="inlineStr">
        <is>
          <t>Vendido</t>
        </is>
      </c>
      <c r="D321" s="4" t="inlineStr">
        <is>
          <t>3</t>
        </is>
      </c>
      <c r="E321" s="5" t="inlineStr">
        <is>
          <t>700,00</t>
        </is>
      </c>
      <c r="F321" s="4" t="inlineStr">
        <is>
          <t>100.00</t>
        </is>
      </c>
    </row>
    <row collapsed="false" customFormat="false" customHeight="false" hidden="false" ht="12.1" outlineLevel="0" r="322">
      <c r="A322" s="5" t="s">
        <f>=HYPERLINK("https://leilaoonline.com.br/lote/detalhe/148677", "1510")</f>
      </c>
      <c r="B322" s="4" t="s">
        <f>=HYPERLINK("https://leilaoonline.com.br/lote/detalhe/148677", " 082-445-2022- APROX. 61 ITENS, DIFUSORES BK-DIF2X20W BKNAV, LOC. Vitória / ES")</f>
      </c>
      <c r="C322" s="4" t="inlineStr">
        <is>
          <t>Vendido</t>
        </is>
      </c>
      <c r="D322" s="4" t="inlineStr">
        <is>
          <t>3</t>
        </is>
      </c>
      <c r="E322" s="5" t="inlineStr">
        <is>
          <t>700,00</t>
        </is>
      </c>
      <c r="F322" s="4" t="inlineStr">
        <is>
          <t>100.00</t>
        </is>
      </c>
    </row>
    <row collapsed="false" customFormat="false" customHeight="false" hidden="false" ht="12.1" outlineLevel="0" r="323">
      <c r="A323" s="5" t="s">
        <f>=HYPERLINK("https://leilaoonline.com.br/lote/detalhe/148669", "1511")</f>
      </c>
      <c r="B323" s="4" t="s">
        <f>=HYPERLINK("https://leilaoonline.com.br/lote/detalhe/148669", " 082-446-2022 - 01 EIXO P/ EMP; DN016042201/1A5 DESENHO SUPORT, LOC. Vitória / ES")</f>
      </c>
      <c r="C323" s="4" t="inlineStr">
        <is>
          <t>Não vendido</t>
        </is>
      </c>
      <c r="D323" s="4" t="inlineStr">
        <is>
          <t>17</t>
        </is>
      </c>
      <c r="E323" s="5" t="inlineStr">
        <is>
          <t>2.600,00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=HYPERLINK("https://leilaoonline.com.br/lote/detalhe/148679", "1512")</f>
      </c>
      <c r="B324" s="4" t="s">
        <f>=HYPERLINK("https://leilaoonline.com.br/lote/detalhe/148679", " 082-447-2022- 04 ITENS, MOTORES, FREIO, TRANSFORMADOR,  VEJA DESCRITIVO DE ITENS - LOC.VITÓRIA/ES")</f>
      </c>
      <c r="C324" s="4" t="inlineStr">
        <is>
          <t>Vendido</t>
        </is>
      </c>
      <c r="D324" s="4" t="inlineStr">
        <is>
          <t>2</t>
        </is>
      </c>
      <c r="E324" s="5" t="inlineStr">
        <is>
          <t>600,00</t>
        </is>
      </c>
      <c r="F324" s="4" t="inlineStr">
        <is>
          <t>100.00</t>
        </is>
      </c>
    </row>
    <row collapsed="false" customFormat="false" customHeight="false" hidden="false" ht="12.1" outlineLevel="0" r="325">
      <c r="A325" s="5" t="s">
        <f>=HYPERLINK("https://leilaoonline.com.br/lote/detalhe/148676", "1513")</f>
      </c>
      <c r="B325" s="4" t="s">
        <f>=HYPERLINK("https://leilaoonline.com.br/lote/detalhe/148676", " 082-448-2022- APROX.  55 ITENS, REATORES LAMPADAS 40W, 127V, 60HZ,  LOC.VITÓRIA/ES")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500,00</t>
        </is>
      </c>
      <c r="F325" s="4" t="inlineStr">
        <is>
          <t>100.00</t>
        </is>
      </c>
    </row>
    <row collapsed="false" customFormat="false" customHeight="false" hidden="false" ht="12.1" outlineLevel="0" r="326">
      <c r="A326" s="5" t="s">
        <f>=HYPERLINK("https://leilaoonline.com.br/lote/detalhe/148684", "1514")</f>
      </c>
      <c r="B326" s="4" t="s">
        <f>=HYPERLINK("https://leilaoonline.com.br/lote/detalhe/148684", " 082-449-2022- APROX.  79 ITENS, PLACAS COMPONENTES, ABAFADOR , SUPORTES  E  OUTROS - VEJA DESCRITIVO DE ITENS - LOC.VITÓRIA/ES")</f>
      </c>
      <c r="C326" s="4" t="inlineStr">
        <is>
          <t>Vendido</t>
        </is>
      </c>
      <c r="D326" s="4" t="inlineStr">
        <is>
          <t>12</t>
        </is>
      </c>
      <c r="E326" s="5" t="inlineStr">
        <is>
          <t>2.800,00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=HYPERLINK("https://leilaoonline.com.br/lote/detalhe/148686", "1515")</f>
      </c>
      <c r="B327" s="4" t="s">
        <f>=HYPERLINK("https://leilaoonline.com.br/lote/detalhe/148686", " 082-453-2022 - 01 Bomba Hidraulica- MOTOR BRANCO 10, ANO 2016, LOC. VITORIA/ES ")</f>
      </c>
      <c r="C327" s="4" t="inlineStr">
        <is>
          <t>Vendido</t>
        </is>
      </c>
      <c r="D327" s="4" t="inlineStr">
        <is>
          <t>10</t>
        </is>
      </c>
      <c r="E327" s="5" t="inlineStr">
        <is>
          <t>1.800,00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=HYPERLINK("https://leilaoonline.com.br/lote/detalhe/148680", "1516")</f>
      </c>
      <c r="B328" s="4" t="s">
        <f>=HYPERLINK("https://leilaoonline.com.br/lote/detalhe/148680", " 082-460-2022 - APROX.  23 ITENS, VEDAÇÃO PLANA, FILTRO, ELEMENTOS E  OUTROS - VEJA DESCRITIVO DE ITENS - LOC.VITÓRIA/ES")</f>
      </c>
      <c r="C328" s="4" t="inlineStr">
        <is>
          <t>Vendido</t>
        </is>
      </c>
      <c r="D328" s="4" t="inlineStr">
        <is>
          <t>3</t>
        </is>
      </c>
      <c r="E328" s="5" t="inlineStr">
        <is>
          <t>700,00</t>
        </is>
      </c>
      <c r="F328" s="4" t="inlineStr">
        <is>
          <t>100.00</t>
        </is>
      </c>
    </row>
    <row collapsed="false" customFormat="false" customHeight="false" hidden="false" ht="12.1" outlineLevel="0" r="329">
      <c r="A329" s="5" t="s">
        <f>=HYPERLINK("https://leilaoonline.com.br/lote/detalhe/148690", "1517")</f>
      </c>
      <c r="B329" s="4" t="s">
        <f>=HYPERLINK("https://leilaoonline.com.br/lote/detalhe/148690", " 082-461-2022 - APROX.  655 ITENS, CHAPAS, BARRAS, PERFIS E  OUTROS - VEJA DESCRITIVO DE ITENS - LOC.VITÓRIA/ES")</f>
      </c>
      <c r="C329" s="4" t="inlineStr">
        <is>
          <t>Não vendido</t>
        </is>
      </c>
      <c r="D329" s="4" t="inlineStr">
        <is>
          <t>19</t>
        </is>
      </c>
      <c r="E329" s="5" t="inlineStr">
        <is>
          <t>3.100,00</t>
        </is>
      </c>
      <c r="F329" s="4" t="inlineStr">
        <is>
          <t>200.00</t>
        </is>
      </c>
    </row>
    <row collapsed="false" customFormat="false" customHeight="false" hidden="false" ht="12.1" outlineLevel="0" r="330">
      <c r="A330" s="5" t="s">
        <f>=HYPERLINK("https://leilaoonline.com.br/lote/detalhe/148682", "1518")</f>
      </c>
      <c r="B330" s="4" t="s">
        <f>=HYPERLINK("https://leilaoonline.com.br/lote/detalhe/148682", " 082-462-2022 - APROX.  1.342 ITENS, MOLAS COMPONENTES, PORCAS  E  OUTROS - VEJA DESCRITIVO DE ITENS - LOC.VITÓRIA/ES")</f>
      </c>
      <c r="C330" s="4" t="inlineStr">
        <is>
          <t>Vendido</t>
        </is>
      </c>
      <c r="D330" s="4" t="inlineStr">
        <is>
          <t>4</t>
        </is>
      </c>
      <c r="E330" s="5" t="inlineStr">
        <is>
          <t>800,00</t>
        </is>
      </c>
      <c r="F330" s="4" t="inlineStr">
        <is>
          <t>100.00</t>
        </is>
      </c>
    </row>
    <row collapsed="false" customFormat="false" customHeight="false" hidden="false" ht="12.1" outlineLevel="0" r="331">
      <c r="A331" s="5" t="s">
        <f>=HYPERLINK("https://leilaoonline.com.br/lote/detalhe/148683", "1519")</f>
      </c>
      <c r="B331" s="4" t="s">
        <f>=HYPERLINK("https://leilaoonline.com.br/lote/detalhe/148683", " 082-471-2022-  APROX. 1.746 ITENS, PORCAS, CABOS, ACOPLAMENTOS  E  OUTROS - VEJA DESCRITIVO DE ITENS - LOC.VITÓRIA/ES")</f>
      </c>
      <c r="C331" s="4" t="inlineStr">
        <is>
          <t>Não vendido</t>
        </is>
      </c>
      <c r="D331" s="4" t="inlineStr">
        <is>
          <t>40</t>
        </is>
      </c>
      <c r="E331" s="5" t="inlineStr">
        <is>
          <t>9.600,00</t>
        </is>
      </c>
      <c r="F331" s="4" t="inlineStr">
        <is>
          <t>200.00</t>
        </is>
      </c>
    </row>
    <row collapsed="false" customFormat="false" customHeight="false" hidden="false" ht="12.1" outlineLevel="0" r="332">
      <c r="A332" s="5" t="s">
        <f>=HYPERLINK("https://leilaoonline.com.br/lote/detalhe/148692", "1520")</f>
      </c>
      <c r="B332" s="4" t="s">
        <f>=HYPERLINK("https://leilaoonline.com.br/lote/detalhe/148692", " 082-472-2022 -  APROX. 28 ITENS, AMORTECEDOR, SENSORES  E  OUTROS - VEJA DESCRITIVO DE ITENS - LOC.VITÓRIA/ES")</f>
      </c>
      <c r="C332" s="4" t="inlineStr">
        <is>
          <t>Vendido</t>
        </is>
      </c>
      <c r="D332" s="4" t="inlineStr">
        <is>
          <t>2</t>
        </is>
      </c>
      <c r="E332" s="5" t="inlineStr">
        <is>
          <t>600,00</t>
        </is>
      </c>
      <c r="F332" s="4" t="inlineStr">
        <is>
          <t>100.00</t>
        </is>
      </c>
    </row>
    <row collapsed="false" customFormat="false" customHeight="false" hidden="false" ht="12.1" outlineLevel="0" r="333">
      <c r="A333" s="5" t="s">
        <f>=HYPERLINK("https://leilaoonline.com.br/lote/detalhe/148689", "1521")</f>
      </c>
      <c r="B333" s="4" t="s">
        <f>=HYPERLINK("https://leilaoonline.com.br/lote/detalhe/148689", " 082-473-2022- APROX.  08 ITENS, VALVULAS , CAIXA JUNÇÃO  VEJA DESCRITIVO DE ITENS - LOC. VITÓRIA/ES")</f>
      </c>
      <c r="C333" s="4" t="inlineStr">
        <is>
          <t>Não vendido</t>
        </is>
      </c>
      <c r="D333" s="4" t="inlineStr">
        <is>
          <t>2</t>
        </is>
      </c>
      <c r="E333" s="5" t="inlineStr">
        <is>
          <t>600,00</t>
        </is>
      </c>
      <c r="F333" s="4" t="inlineStr">
        <is>
          <t>100.00</t>
        </is>
      </c>
    </row>
    <row collapsed="false" customFormat="false" customHeight="false" hidden="false" ht="12.1" outlineLevel="0" r="334">
      <c r="A334" s="5" t="s">
        <f>=HYPERLINK("https://leilaoonline.com.br/lote/detalhe/148678", "1522")</f>
      </c>
      <c r="B334" s="4" t="s">
        <f>=HYPERLINK("https://leilaoonline.com.br/lote/detalhe/148678", " 082-474-2022 - APROX.  110 ITENS, PINO COMPONENTE, RETENTOR  E  OUTROS - VEJA DESCRITIVO DE ITENS - LOC.VITÓRIA/ES")</f>
      </c>
      <c r="C334" s="4" t="inlineStr">
        <is>
          <t>Não vendido</t>
        </is>
      </c>
      <c r="D334" s="4" t="inlineStr">
        <is>
          <t>5</t>
        </is>
      </c>
      <c r="E334" s="5" t="inlineStr">
        <is>
          <t>1.900,00</t>
        </is>
      </c>
      <c r="F334" s="4" t="inlineStr">
        <is>
          <t>200.00</t>
        </is>
      </c>
    </row>
    <row collapsed="false" customFormat="false" customHeight="false" hidden="false" ht="12.1" outlineLevel="0" r="335">
      <c r="A335" s="5" t="s">
        <f>=HYPERLINK("https://leilaoonline.com.br/lote/detalhe/148886", "1523")</f>
      </c>
      <c r="B335" s="4" t="s">
        <f>=HYPERLINK("https://leilaoonline.com.br/lote/detalhe/148886", " CPBS-018-2022 - 77 DISTRIBUIDORES PISTOES 8SAID 210BAR, 4 DISTRIBUIDORES INTERNOS OPTICO, 3 CONTATORES TRIPOLAR. - LOC. ITAGUAI - PORTO DE SEPETIBA")</f>
      </c>
      <c r="C335" s="4" t="inlineStr">
        <is>
          <t>Vendido</t>
        </is>
      </c>
      <c r="D335" s="4" t="inlineStr">
        <is>
          <t>2</t>
        </is>
      </c>
      <c r="E335" s="5" t="inlineStr">
        <is>
          <t>600,00</t>
        </is>
      </c>
      <c r="F335" s="4" t="inlineStr">
        <is>
          <t>100.00</t>
        </is>
      </c>
    </row>
    <row collapsed="false" customFormat="false" customHeight="false" hidden="false" ht="12.1" outlineLevel="0" r="336">
      <c r="A336" s="5" t="s">
        <f>=HYPERLINK("https://leilaoonline.com.br/lote/detalhe/148902", "1524")</f>
      </c>
      <c r="B336" s="4" t="s">
        <f>=HYPERLINK("https://leilaoonline.com.br/lote/detalhe/148902", " OIA-039-2022 - APROX. 189 ITENS. - LAMINA RASPADORA 101,6MM 30MM, ANEL AV05259 IMBIL; E OUTROS, VEJA DESCRITIVO DE ITENS. - LOC. OURILÂNDIA/PA")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500,00</t>
        </is>
      </c>
      <c r="F336" s="4" t="inlineStr">
        <is>
          <t>100.00</t>
        </is>
      </c>
    </row>
    <row collapsed="false" customFormat="false" customHeight="false" hidden="false" ht="12.1" outlineLevel="0" r="337">
      <c r="A337" s="5" t="s">
        <f>=HYPERLINK("https://leilaoonline.com.br/lote/detalhe/148889", "1525")</f>
      </c>
      <c r="B337" s="4" t="s">
        <f>=HYPERLINK("https://leilaoonline.com.br/lote/detalhe/148889", " PIC-341-2022 - APROX. 511 ITENS. - ROLETE 2020605 TEREX, ESTOJO 8E686001 DORR OLIVER, LABIR 59931213003 METSO; E OUTROS, VEJA DESCRITIVO DE ITENS. - LOC. ITABIRITO/MG")</f>
      </c>
      <c r="C337" s="4" t="inlineStr">
        <is>
          <t>Vendido</t>
        </is>
      </c>
      <c r="D337" s="4" t="inlineStr">
        <is>
          <t>13</t>
        </is>
      </c>
      <c r="E337" s="5" t="inlineStr">
        <is>
          <t>2.900,00</t>
        </is>
      </c>
      <c r="F337" s="4" t="inlineStr">
        <is>
          <t>200.00</t>
        </is>
      </c>
    </row>
    <row collapsed="false" customFormat="false" customHeight="false" hidden="false" ht="12.1" outlineLevel="0" r="338">
      <c r="A338" s="5" t="s">
        <f>=HYPERLINK("https://leilaoonline.com.br/lote/detalhe/148900", "1526")</f>
      </c>
      <c r="B338" s="4" t="s">
        <f>=HYPERLINK("https://leilaoonline.com.br/lote/detalhe/148900", " PIC-346-2022 - APROX. 155 ITENS. - ANEL DE VEDACAO-O, VALVULA UNIDIRECIONAL; E OUTROS, VEJA DESCRITIVO DE ITENS. - LOC. ITABIRITO/MG")</f>
      </c>
      <c r="C338" s="4" t="inlineStr">
        <is>
          <t>Vendido</t>
        </is>
      </c>
      <c r="D338" s="4" t="inlineStr">
        <is>
          <t>13</t>
        </is>
      </c>
      <c r="E338" s="5" t="inlineStr">
        <is>
          <t>2.000,00</t>
        </is>
      </c>
      <c r="F338" s="4" t="inlineStr">
        <is>
          <t>200.00</t>
        </is>
      </c>
    </row>
    <row collapsed="false" customFormat="false" customHeight="false" hidden="false" ht="12.1" outlineLevel="0" r="339">
      <c r="A339" s="5" t="s">
        <f>=HYPERLINK("https://leilaoonline.com.br/lote/detalhe/148893", "1527")</f>
      </c>
      <c r="B339" s="4" t="s">
        <f>=HYPERLINK("https://leilaoonline.com.br/lote/detalhe/148893", " PIC-348-2022 - APROX. 167 ITENS. - LUVA 7N5656 CATERPILLAR, PORCA 1982914 CATERPILLAR, RETENTOR VED; E OUTROS, VEJA DESCRITIVO DE ITENS. - LOC. ITABIRITO/MG")</f>
      </c>
      <c r="C339" s="4" t="inlineStr">
        <is>
          <t>Vendido</t>
        </is>
      </c>
      <c r="D339" s="4" t="inlineStr">
        <is>
          <t>5</t>
        </is>
      </c>
      <c r="E339" s="5" t="inlineStr">
        <is>
          <t>900,00</t>
        </is>
      </c>
      <c r="F339" s="4" t="inlineStr">
        <is>
          <t>100.00</t>
        </is>
      </c>
    </row>
    <row collapsed="false" customFormat="false" customHeight="false" hidden="false" ht="12.1" outlineLevel="0" r="340">
      <c r="A340" s="5" t="s">
        <f>=HYPERLINK("https://leilaoonline.com.br/lote/detalhe/148895", "1528")</f>
      </c>
      <c r="B340" s="4" t="s">
        <f>=HYPERLINK("https://leilaoonline.com.br/lote/detalhe/148895", " PIC-367-2022 - APROX. 155 ITENS. - PLACA 2311168 CATERPILLAR, CONEX 1391802 CATERPILLAR, BRAKE CHAMBER-REAR; E OUTROS, VEJA DESCRITIVO DE ITENS. - LOC. ITABIRITO/MG")</f>
      </c>
      <c r="C340" s="4" t="inlineStr">
        <is>
          <t>Vendido</t>
        </is>
      </c>
      <c r="D340" s="4" t="inlineStr">
        <is>
          <t>1</t>
        </is>
      </c>
      <c r="E340" s="5" t="inlineStr">
        <is>
          <t>500,00</t>
        </is>
      </c>
      <c r="F340" s="4" t="inlineStr">
        <is>
          <t>100.00</t>
        </is>
      </c>
    </row>
    <row collapsed="false" customFormat="false" customHeight="false" hidden="false" ht="12.1" outlineLevel="0" r="341">
      <c r="A341" s="5" t="s">
        <f>=HYPERLINK("https://leilaoonline.com.br/lote/detalhe/148898", "1529")</f>
      </c>
      <c r="B341" s="4" t="s">
        <f>=HYPERLINK("https://leilaoonline.com.br/lote/detalhe/148898", " PIC-383-2022 - APROX. 197 ITENS. - TUBO 1472771 SCANIA, BUJAO 341904 SCANIA, PRESILHA 1401239 SCANIA; E OUTROS, VEJA DESCRITIVO DE ITENS. - LOC. ITABIRITO/MG")</f>
      </c>
      <c r="C341" s="4" t="inlineStr">
        <is>
          <t>Vendido</t>
        </is>
      </c>
      <c r="D341" s="4" t="inlineStr">
        <is>
          <t>3</t>
        </is>
      </c>
      <c r="E341" s="5" t="inlineStr">
        <is>
          <t>700,00</t>
        </is>
      </c>
      <c r="F341" s="4" t="inlineStr">
        <is>
          <t>100.00</t>
        </is>
      </c>
    </row>
    <row collapsed="false" customFormat="false" customHeight="false" hidden="false" ht="12.1" outlineLevel="0" r="342">
      <c r="A342" s="5" t="s">
        <f>=HYPERLINK("https://leilaoonline.com.br/lote/detalhe/148901", "1530")</f>
      </c>
      <c r="B342" s="4" t="s">
        <f>=HYPERLINK("https://leilaoonline.com.br/lote/detalhe/148901", " PIC-387-2022 - APROX. 211 ITENS. - PARAFUSO 8T5005 CATERPILLAR, KIT REPARO 550284 SCANIA, SOLENOIDE 3137668 CATERPILLAR;E OUTROS, VEJA DESCRITIVO DE ITENS. - LOC. ITABIRITO/MG ")</f>
      </c>
      <c r="C342" s="4" t="inlineStr">
        <is>
          <t>Vendido</t>
        </is>
      </c>
      <c r="D342" s="4" t="inlineStr">
        <is>
          <t>22</t>
        </is>
      </c>
      <c r="E342" s="5" t="inlineStr">
        <is>
          <t>4.100,00</t>
        </is>
      </c>
      <c r="F342" s="4" t="inlineStr">
        <is>
          <t>200.00</t>
        </is>
      </c>
    </row>
    <row collapsed="false" customFormat="false" customHeight="false" hidden="false" ht="12.1" outlineLevel="0" r="343">
      <c r="A343" s="5" t="s">
        <f>=HYPERLINK("https://leilaoonline.com.br/lote/detalhe/148882", "1531")</f>
      </c>
      <c r="B343" s="4" t="s">
        <f>=HYPERLINK("https://leilaoonline.com.br/lote/detalhe/148882", " PIC-389-2022 - APROX. 313 ITENS. - PARAFUSO 7X2561 CATERPILLAR, ARRUELA 8T7934 SOTREQ, TERMINAL DE ENGATE; E OUTROS, VEJA DESCRITIVO DE ITENS. - LOC. ITABIRITO/MG")</f>
      </c>
      <c r="C343" s="4" t="inlineStr">
        <is>
          <t>Vendido</t>
        </is>
      </c>
      <c r="D343" s="4" t="inlineStr">
        <is>
          <t>2</t>
        </is>
      </c>
      <c r="E343" s="5" t="inlineStr">
        <is>
          <t>600,00</t>
        </is>
      </c>
      <c r="F343" s="4" t="inlineStr">
        <is>
          <t>100.00</t>
        </is>
      </c>
    </row>
    <row collapsed="false" customFormat="false" customHeight="false" hidden="false" ht="12.1" outlineLevel="0" r="344">
      <c r="A344" s="5" t="s">
        <f>=HYPERLINK("https://leilaoonline.com.br/lote/detalhe/148892", "1532")</f>
      </c>
      <c r="B344" s="4" t="s">
        <f>=HYPERLINK("https://leilaoonline.com.br/lote/detalhe/148892", " PIC-403-2022 - APROX. 41 ITENS. - CALCO 1277050 CATERPILLAR, FILTRO FLUID AUTOM, SUSPIRO 4060263 LETOURNEAU; E OUTROS, VEJA DESCRITIVO DE ITENS. - LOC. ITABIRITO/MG")</f>
      </c>
      <c r="C344" s="4" t="inlineStr">
        <is>
          <t>Vendido</t>
        </is>
      </c>
      <c r="D344" s="4" t="inlineStr">
        <is>
          <t>1</t>
        </is>
      </c>
      <c r="E344" s="5" t="inlineStr">
        <is>
          <t>500,00</t>
        </is>
      </c>
      <c r="F344" s="4" t="inlineStr">
        <is>
          <t>100.00</t>
        </is>
      </c>
    </row>
    <row collapsed="false" customFormat="false" customHeight="false" hidden="false" ht="12.1" outlineLevel="0" r="345">
      <c r="A345" s="5" t="s">
        <f>=HYPERLINK("https://leilaoonline.com.br/lote/detalhe/148885", "1533")</f>
      </c>
      <c r="B345" s="4" t="s">
        <f>=HYPERLINK("https://leilaoonline.com.br/lote/detalhe/148885", " PIC-431-2022 - 3 MOTORES DIESEL 12V4000C11R TOGNUM AMERICA. - LOC. ITABIRITO/MG")</f>
      </c>
      <c r="C345" s="4" t="inlineStr">
        <is>
          <t>Vendido</t>
        </is>
      </c>
      <c r="D345" s="4" t="inlineStr">
        <is>
          <t>15</t>
        </is>
      </c>
      <c r="E345" s="5" t="inlineStr">
        <is>
          <t>22.100,00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=HYPERLINK("https://leilaoonline.com.br/lote/detalhe/148887", "1534")</f>
      </c>
      <c r="B346" s="4" t="s">
        <f>=HYPERLINK("https://leilaoonline.com.br/lote/detalhe/148887", " PIC-434-2022 - APROX. 5 ITENS. - COMANDO FINAL 90603140 KOMATSU, MOTOR DIESEL S6D140E2 KOMATSU, CAIXA ENGRENAGEM 21T3800160 KOMATSU; E OUTROS, VEJA DESCRITIVO DE ITENS. - LOC. ITABIRITO/MG")</f>
      </c>
      <c r="C346" s="4" t="inlineStr">
        <is>
          <t>Não vendido</t>
        </is>
      </c>
      <c r="D346" s="4" t="inlineStr">
        <is>
          <t>11</t>
        </is>
      </c>
      <c r="E346" s="5" t="inlineStr">
        <is>
          <t>16.400,00</t>
        </is>
      </c>
      <c r="F346" s="4" t="inlineStr">
        <is>
          <t>500.00</t>
        </is>
      </c>
    </row>
    <row collapsed="false" customFormat="false" customHeight="false" hidden="false" ht="12.1" outlineLevel="0" r="347">
      <c r="A347" s="5" t="s">
        <f>=HYPERLINK("https://leilaoonline.com.br/lote/detalhe/148896", "1535")</f>
      </c>
      <c r="B347" s="4" t="s">
        <f>=HYPERLINK("https://leilaoonline.com.br/lote/detalhe/148896", " PIC-435-2022 - APROX. 8 ITENS. - MOTOR DIESEL S6D140E2 KOMATSU, TRANSMISSAO COMPONENT;6Y5645 CATERPILLAR; E OUTROS, VEJA DESCRITIVO DE ITENS. - LOC. ITABIRITO/MG")</f>
      </c>
      <c r="C347" s="4" t="inlineStr">
        <is>
          <t>Vendido</t>
        </is>
      </c>
      <c r="D347" s="4" t="inlineStr">
        <is>
          <t>14</t>
        </is>
      </c>
      <c r="E347" s="5" t="inlineStr">
        <is>
          <t>42.100,00</t>
        </is>
      </c>
      <c r="F347" s="4" t="inlineStr">
        <is>
          <t>1000.00</t>
        </is>
      </c>
    </row>
    <row collapsed="false" customFormat="false" customHeight="false" hidden="false" ht="12.1" outlineLevel="0" r="348">
      <c r="A348" s="5" t="s">
        <f>=HYPERLINK("https://leilaoonline.com.br/lote/detalhe/148897", "1536")</f>
      </c>
      <c r="B348" s="4" t="s">
        <f>=HYPERLINK("https://leilaoonline.com.br/lote/detalhe/148897", " PIC-436-2022 - APROX. 9 ITENS. - REDUTOR 10120951 LIEBHERR, COMANDO FINAL 944397003 LIEBHERR; E OUTROS, VEJA DESCRITIVO DE ITENS. - LOC. ITABIRITO/MG")</f>
      </c>
      <c r="C348" s="4" t="inlineStr">
        <is>
          <t>Vendido</t>
        </is>
      </c>
      <c r="D348" s="4" t="inlineStr">
        <is>
          <t>2</t>
        </is>
      </c>
      <c r="E348" s="5" t="inlineStr">
        <is>
          <t>15.000,00</t>
        </is>
      </c>
      <c r="F348" s="4" t="inlineStr">
        <is>
          <t>500.00</t>
        </is>
      </c>
    </row>
    <row collapsed="false" customFormat="false" customHeight="false" hidden="false" ht="12.1" outlineLevel="0" r="349">
      <c r="A349" s="5" t="s">
        <f>=HYPERLINK("https://leilaoonline.com.br/lote/detalhe/148894", "1537")</f>
      </c>
      <c r="B349" s="4" t="s">
        <f>=HYPERLINK("https://leilaoonline.com.br/lote/detalhe/148894", " PIC-437-2022 - 1 COMANDO 944378003 LIEBHERR, 1 CAIXA TRANSFER 9080120 LIEBHERR. - LOC. ITABIRITO/MG")</f>
      </c>
      <c r="C349" s="4" t="inlineStr">
        <is>
          <t>Vendido</t>
        </is>
      </c>
      <c r="D349" s="4" t="inlineStr">
        <is>
          <t>13</t>
        </is>
      </c>
      <c r="E349" s="5" t="inlineStr">
        <is>
          <t>4.200,00</t>
        </is>
      </c>
      <c r="F349" s="4" t="inlineStr">
        <is>
          <t>200.00</t>
        </is>
      </c>
    </row>
    <row collapsed="false" customFormat="false" customHeight="false" hidden="false" ht="12.1" outlineLevel="0" r="350">
      <c r="A350" s="5" t="s">
        <f>=HYPERLINK("https://leilaoonline.com.br/lote/detalhe/148888", "1538")</f>
      </c>
      <c r="B350" s="4" t="s">
        <f>=HYPERLINK("https://leilaoonline.com.br/lote/detalhe/148888", " PIC-438-2022 - COMANDO FINAL 11700661 VOLVO. - LOC. ITABIRITO/MG ")</f>
      </c>
      <c r="C350" s="4" t="inlineStr">
        <is>
          <t>Vendido</t>
        </is>
      </c>
      <c r="D350" s="4" t="inlineStr">
        <is>
          <t>4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=HYPERLINK("https://leilaoonline.com.br/lote/detalhe/148884", "1539")</f>
      </c>
      <c r="B351" s="4" t="s">
        <f>=HYPERLINK("https://leilaoonline.com.br/lote/detalhe/148884", " PIC-439-2022 - APROX. 144 ITENS. - CHICOTE 3642489 CUMMINS, MANCAL 6E0804 CATERPILLAR, SUPORTE 1443143 SCANIA; E OUTROS, VEJA DESCRITIVO DE ITENS. - LOC. ITABIRITO/MG")</f>
      </c>
      <c r="C351" s="4" t="inlineStr">
        <is>
          <t>Vendido</t>
        </is>
      </c>
      <c r="D351" s="4" t="inlineStr">
        <is>
          <t>6</t>
        </is>
      </c>
      <c r="E351" s="5" t="inlineStr">
        <is>
          <t>2.200,00</t>
        </is>
      </c>
      <c r="F351" s="4" t="inlineStr">
        <is>
          <t>200.00</t>
        </is>
      </c>
    </row>
    <row collapsed="false" customFormat="false" customHeight="false" hidden="false" ht="12.1" outlineLevel="0" r="352">
      <c r="A352" s="5" t="s">
        <f>=HYPERLINK("https://leilaoonline.com.br/lote/detalhe/148883", "1540")</f>
      </c>
      <c r="B352" s="4" t="s">
        <f>=HYPERLINK("https://leilaoonline.com.br/lote/detalhe/148883", " S11D-003-2022-MRO - APROX. 80.677 ITENS, MASCARAS RESPIRATÓRIAS DE TECIDO U , LOC.CANAÃ DOS CARAJAS/PA")</f>
      </c>
      <c r="C352" s="4" t="inlineStr">
        <is>
          <t>Não vendido</t>
        </is>
      </c>
      <c r="D352" s="4" t="inlineStr">
        <is>
          <t>1</t>
        </is>
      </c>
      <c r="E352" s="5" t="inlineStr">
        <is>
          <t>500,00</t>
        </is>
      </c>
      <c r="F352" s="4" t="inlineStr">
        <is>
          <t>100.00</t>
        </is>
      </c>
    </row>
    <row collapsed="false" customFormat="false" customHeight="false" hidden="false" ht="12.1" outlineLevel="0" r="353">
      <c r="A353" s="5" t="s">
        <f>=HYPERLINK("https://leilaoonline.com.br/lote/detalhe/148899", "1541")</f>
      </c>
      <c r="B353" s="4" t="s">
        <f>=HYPERLINK("https://leilaoonline.com.br/lote/detalhe/148899", " S11D-011-2022- ESTACAO TOTAL TRIMBLE S3 5 AUTOLOCK, , TRIMBLE, LOC. CANAA DOS CARAJÁS/PA")</f>
      </c>
      <c r="C353" s="4" t="inlineStr">
        <is>
          <t>Não vendido</t>
        </is>
      </c>
      <c r="D353" s="4" t="inlineStr">
        <is>
          <t>31</t>
        </is>
      </c>
      <c r="E353" s="5" t="inlineStr">
        <is>
          <t>6.000,00</t>
        </is>
      </c>
      <c r="F353" s="4" t="inlineStr">
        <is>
          <t>200.00</t>
        </is>
      </c>
    </row>
    <row collapsed="false" customFormat="false" customHeight="false" hidden="false" ht="12.1" outlineLevel="0" r="354">
      <c r="A354" s="5" t="s">
        <f>=HYPERLINK("https://leilaoonline.com.br/lote/detalhe/148891", "1542")</f>
      </c>
      <c r="B354" s="4" t="s">
        <f>=HYPERLINK("https://leilaoonline.com.br/lote/detalhe/148891", " SLB-042-2022 - APROX.  169 ITENS, ISOLADOR, VALVULAS, BUCHAS E OUTROS - VEJA DESCRITIVO DE ITENS - LOC.Marabá/ PA")</f>
      </c>
      <c r="C354" s="4" t="inlineStr">
        <is>
          <t>Vendido</t>
        </is>
      </c>
      <c r="D354" s="4" t="inlineStr">
        <is>
          <t>1</t>
        </is>
      </c>
      <c r="E354" s="5" t="inlineStr">
        <is>
          <t>500,00</t>
        </is>
      </c>
      <c r="F354" s="4" t="inlineStr">
        <is>
          <t>100.00</t>
        </is>
      </c>
    </row>
    <row collapsed="false" customFormat="false" customHeight="false" hidden="false" ht="12.1" outlineLevel="0" r="355">
      <c r="A355" s="5" t="s">
        <f>=HYPERLINK("https://leilaoonline.com.br/lote/detalhe/148906", "1543")</f>
      </c>
      <c r="B355" s="4" t="s">
        <f>=HYPERLINK("https://leilaoonline.com.br/lote/detalhe/148906", " SLB-043-2022- APROX.  509 ITENS, FUSIVEIS, PLACAS, FILTROS E OUTROS - VEJA DESCRITIVO DE ITENS , LOC. Marabá/ PA")</f>
      </c>
      <c r="C355" s="4" t="inlineStr">
        <is>
          <t>Vendido</t>
        </is>
      </c>
      <c r="D355" s="4" t="inlineStr">
        <is>
          <t>22</t>
        </is>
      </c>
      <c r="E355" s="5" t="inlineStr">
        <is>
          <t>8.250,00</t>
        </is>
      </c>
      <c r="F355" s="4" t="inlineStr">
        <is>
          <t>250.00</t>
        </is>
      </c>
    </row>
    <row collapsed="false" customFormat="false" customHeight="false" hidden="false" ht="12.1" outlineLevel="0" r="356">
      <c r="A356" s="5" t="s">
        <f>=HYPERLINK("https://leilaoonline.com.br/lote/detalhe/148890", "1544")</f>
      </c>
      <c r="B356" s="4" t="s">
        <f>=HYPERLINK("https://leilaoonline.com.br/lote/detalhe/148890", " SLB-044-2022- APROX.  379 ITENS,REDUTORES , ROLOS , JUNTAS E OUTROS - VEJA DESCRITIVO DE ITENS , LOC. Marabá/ PA")</f>
      </c>
      <c r="C356" s="4" t="inlineStr">
        <is>
          <t>Vendido</t>
        </is>
      </c>
      <c r="D356" s="4" t="inlineStr">
        <is>
          <t>33</t>
        </is>
      </c>
      <c r="E356" s="5" t="inlineStr">
        <is>
          <t>6.300,00</t>
        </is>
      </c>
      <c r="F356" s="4" t="inlineStr">
        <is>
          <t>200.00</t>
        </is>
      </c>
    </row>
    <row collapsed="false" customFormat="false" customHeight="false" hidden="false" ht="12.1" outlineLevel="0" r="357">
      <c r="A357" s="5" t="s">
        <f>=HYPERLINK("https://leilaoonline.com.br/lote/detalhe/148907", "1545")</f>
      </c>
      <c r="B357" s="4" t="s">
        <f>=HYPERLINK("https://leilaoonline.com.br/lote/detalhe/148907", " SLB-046-2022- APROX.  296 MTS, CORREIA TRANSPORTADORA; TIPO: ABERTA; SERVICO: EXTRA ABRASAO.- LOC. MARABÁ/PA")</f>
      </c>
      <c r="C357" s="4" t="inlineStr">
        <is>
          <t>Não vendido</t>
        </is>
      </c>
      <c r="D357" s="4" t="inlineStr">
        <is>
          <t>45</t>
        </is>
      </c>
      <c r="E357" s="5" t="inlineStr">
        <is>
          <t>61.400,00</t>
        </is>
      </c>
      <c r="F357" s="4" t="inlineStr">
        <is>
          <t>1000.00</t>
        </is>
      </c>
    </row>
    <row collapsed="false" customFormat="false" customHeight="false" hidden="false" ht="12.1" outlineLevel="0" r="358">
      <c r="A358" s="5" t="s">
        <f>=HYPERLINK("https://leilaoonline.com.br/lote/detalhe/148910", "1546")</f>
      </c>
      <c r="B358" s="4" t="s">
        <f>=HYPERLINK("https://leilaoonline.com.br/lote/detalhe/148910", " SLB-047-2022- 05 FECHADURAS ALAV 156X35X20MM, LOC. Marabá/ PA")</f>
      </c>
      <c r="C358" s="4" t="inlineStr">
        <is>
          <t>Vendido</t>
        </is>
      </c>
      <c r="D358" s="4" t="inlineStr">
        <is>
          <t>1</t>
        </is>
      </c>
      <c r="E358" s="5" t="inlineStr">
        <is>
          <t>500,00</t>
        </is>
      </c>
      <c r="F358" s="4" t="inlineStr">
        <is>
          <t>100.00</t>
        </is>
      </c>
    </row>
    <row collapsed="false" customFormat="false" customHeight="false" hidden="false" ht="12.1" outlineLevel="0" r="359">
      <c r="A359" s="5" t="s">
        <f>=HYPERLINK("https://leilaoonline.com.br/lote/detalhe/148904", "1547")</f>
      </c>
      <c r="B359" s="4" t="s">
        <f>=HYPERLINK("https://leilaoonline.com.br/lote/detalhe/148904", " SLB-048-2022 - APROX. 828 ITENS, ARRUELAS, SENSORES , CILINDROS E OUTROS - VEJA DESCRITIVO DE ITENS , LOC. Marabá/ PA")</f>
      </c>
      <c r="C359" s="4" t="inlineStr">
        <is>
          <t>Vendido</t>
        </is>
      </c>
      <c r="D359" s="4" t="inlineStr">
        <is>
          <t>5</t>
        </is>
      </c>
      <c r="E359" s="5" t="inlineStr">
        <is>
          <t>3.900,00</t>
        </is>
      </c>
      <c r="F359" s="4" t="inlineStr">
        <is>
          <t>250.00</t>
        </is>
      </c>
    </row>
    <row collapsed="false" customFormat="false" customHeight="false" hidden="false" ht="12.1" outlineLevel="0" r="360">
      <c r="A360" s="5" t="s">
        <f>=HYPERLINK("https://leilaoonline.com.br/lote/detalhe/148903", "1548")</f>
      </c>
      <c r="B360" s="4" t="s">
        <f>=HYPERLINK("https://leilaoonline.com.br/lote/detalhe/148903", " SLB-050-2022 - APROX.  427 ITENS, ABRAÇADEIRAS, MANGUEIRAS E OUTROS - VEJA DESCRITIVO DE ITENS , LOC. Marabá/ PA")</f>
      </c>
      <c r="C360" s="4" t="inlineStr">
        <is>
          <t>Vendido</t>
        </is>
      </c>
      <c r="D360" s="4" t="inlineStr">
        <is>
          <t>6</t>
        </is>
      </c>
      <c r="E360" s="5" t="inlineStr">
        <is>
          <t>2.500,00</t>
        </is>
      </c>
      <c r="F360" s="4" t="inlineStr">
        <is>
          <t>250.00</t>
        </is>
      </c>
    </row>
    <row collapsed="false" customFormat="false" customHeight="false" hidden="false" ht="12.1" outlineLevel="0" r="361">
      <c r="A361" s="5" t="s">
        <f>=HYPERLINK("https://leilaoonline.com.br/lote/detalhe/148911", "1549")</f>
      </c>
      <c r="B361" s="4" t="s">
        <f>=HYPERLINK("https://leilaoonline.com.br/lote/detalhe/148911", " SLB-051-2022- APROX.  553 ITENS, PARAFUSOS, ABRAÇADEIRAS E OUTROS - VEJA DESCRITIVO DE ITENS , LOC. Marabá/ PA")</f>
      </c>
      <c r="C361" s="4" t="inlineStr">
        <is>
          <t>Vendido</t>
        </is>
      </c>
      <c r="D361" s="4" t="inlineStr">
        <is>
          <t>8</t>
        </is>
      </c>
      <c r="E361" s="5" t="inlineStr">
        <is>
          <t>2.700,00</t>
        </is>
      </c>
      <c r="F361" s="4" t="inlineStr">
        <is>
          <t>250.00</t>
        </is>
      </c>
    </row>
    <row collapsed="false" customFormat="false" customHeight="false" hidden="false" ht="12.1" outlineLevel="0" r="362">
      <c r="A362" s="5" t="s">
        <f>=HYPERLINK("https://leilaoonline.com.br/lote/detalhe/148908", "1550")</f>
      </c>
      <c r="B362" s="4" t="s">
        <f>=HYPERLINK("https://leilaoonline.com.br/lote/detalhe/148908", " SLB-052-2022 - APROX.  568 ITENS, MANGUEIRAS, FUSIVEIS AUTOMOTIVOS  E OUTROS - VEJA DESCRITIVO DE ITENS , LOC. Marabá/ PA")</f>
      </c>
      <c r="C362" s="4" t="inlineStr">
        <is>
          <t>Vendido</t>
        </is>
      </c>
      <c r="D362" s="4" t="inlineStr">
        <is>
          <t>10</t>
        </is>
      </c>
      <c r="E362" s="5" t="inlineStr">
        <is>
          <t>3.550,00</t>
        </is>
      </c>
      <c r="F362" s="4" t="inlineStr">
        <is>
          <t>250.00</t>
        </is>
      </c>
    </row>
    <row collapsed="false" customFormat="false" customHeight="false" hidden="false" ht="12.1" outlineLevel="0" r="363">
      <c r="A363" s="5" t="s">
        <f>=HYPERLINK("https://leilaoonline.com.br/lote/detalhe/148905", "1551")</f>
      </c>
      <c r="B363" s="4" t="s">
        <f>=HYPERLINK("https://leilaoonline.com.br/lote/detalhe/148905", " SLB-053-2022 - APROX.  560 ITENS, ADAPTADORES, PARAFUSOS, ARRUELAS  E OUTROS - VEJA DESCRITIVO DE ITENS , LOC. Marabá/ PA")</f>
      </c>
      <c r="C363" s="4" t="inlineStr">
        <is>
          <t>Vendido</t>
        </is>
      </c>
      <c r="D363" s="4" t="inlineStr">
        <is>
          <t>6</t>
        </is>
      </c>
      <c r="E363" s="5" t="inlineStr">
        <is>
          <t>1.500,00</t>
        </is>
      </c>
      <c r="F363" s="4" t="inlineStr">
        <is>
          <t>200.00</t>
        </is>
      </c>
    </row>
    <row collapsed="false" customFormat="false" customHeight="false" hidden="false" ht="12.1" outlineLevel="0" r="364">
      <c r="A364" s="5" t="s">
        <f>=HYPERLINK("https://leilaoonline.com.br/lote/detalhe/148909", "1552")</f>
      </c>
      <c r="B364" s="4" t="s">
        <f>=HYPERLINK("https://leilaoonline.com.br/lote/detalhe/148909", " SLB-054-2022 - APROX.  847 ITENS, CORREIAS V LISA, ROTEADORES, ANEIS  E OUTROS - VEJA DESCRITIVO DE ITENS , LOC. Marabá/ PA")</f>
      </c>
      <c r="C364" s="4" t="inlineStr">
        <is>
          <t>Vendido</t>
        </is>
      </c>
      <c r="D364" s="4" t="inlineStr">
        <is>
          <t>11</t>
        </is>
      </c>
      <c r="E364" s="5" t="inlineStr">
        <is>
          <t>3.000,00</t>
        </is>
      </c>
      <c r="F364" s="4" t="inlineStr">
        <is>
          <t>200.00</t>
        </is>
      </c>
    </row>
    <row collapsed="false" customFormat="false" customHeight="false" hidden="false" ht="12.1" outlineLevel="0" r="365">
      <c r="A365" s="5" t="s">
        <f>=HYPERLINK("https://leilaoonline.com.br/lote/detalhe/148931", "1553")</f>
      </c>
      <c r="B365" s="4" t="s">
        <f>=HYPERLINK("https://leilaoonline.com.br/lote/detalhe/148931", " SLS-EQ-007-2022 - 01 MAQUINA PARA PREGOS DE LINHA GEISMAR, AC-1, ANO 2012, SERIE 0102101, LOC. SÃO LUIS/MA ")</f>
      </c>
      <c r="C365" s="4" t="inlineStr">
        <is>
          <t>Não vendido</t>
        </is>
      </c>
      <c r="D365" s="4" t="inlineStr">
        <is>
          <t>1</t>
        </is>
      </c>
      <c r="E365" s="5" t="inlineStr">
        <is>
          <t>500,00</t>
        </is>
      </c>
      <c r="F365" s="4" t="inlineStr">
        <is>
          <t>100.00</t>
        </is>
      </c>
    </row>
    <row collapsed="false" customFormat="false" customHeight="false" hidden="false" ht="12.1" outlineLevel="0" r="366">
      <c r="A366" s="5" t="s">
        <f>=HYPERLINK("https://leilaoonline.com.br/lote/detalhe/148915", "1554")</f>
      </c>
      <c r="B366" s="4" t="s">
        <f>=HYPERLINK("https://leilaoonline.com.br/lote/detalhe/148915", " SLS-EQ-008-2022 - APROX.  15 ITENS, CADEIRAS GIRATORIAS DIVERSAS, VEJA DESCRITIVO DE ITENS - LOC. SÃO LUIS - MA 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500,00</t>
        </is>
      </c>
      <c r="F366" s="4" t="inlineStr">
        <is>
          <t>100.00</t>
        </is>
      </c>
    </row>
    <row collapsed="false" customFormat="false" customHeight="false" hidden="false" ht="12.1" outlineLevel="0" r="367">
      <c r="A367" s="5" t="s">
        <f>=HYPERLINK("https://leilaoonline.com.br/lote/detalhe/148926", "1555")</f>
      </c>
      <c r="B367" s="4" t="s">
        <f>=HYPERLINK("https://leilaoonline.com.br/lote/detalhe/148926", " SLS-EQ-021-2022- APROX.  09 CONTAINERES DIVERSOS , LOC. SÃO LUIS/ MA")</f>
      </c>
      <c r="C367" s="4" t="inlineStr">
        <is>
          <t>Não vendido</t>
        </is>
      </c>
      <c r="D367" s="4" t="inlineStr">
        <is>
          <t>87</t>
        </is>
      </c>
      <c r="E367" s="5" t="inlineStr">
        <is>
          <t>22.500,00</t>
        </is>
      </c>
      <c r="F367" s="4" t="inlineStr">
        <is>
          <t>500.00</t>
        </is>
      </c>
    </row>
    <row collapsed="false" customFormat="false" customHeight="false" hidden="false" ht="12.1" outlineLevel="0" r="368">
      <c r="A368" s="5" t="s">
        <f>=HYPERLINK("https://leilaoonline.com.br/lote/detalhe/148925", "1556")</f>
      </c>
      <c r="B368" s="4" t="s">
        <f>=HYPERLINK("https://leilaoonline.com.br/lote/detalhe/148925", " SLS-EQ-022-2022- 02 LAVADORAS DE ALTA PRESSAO TRIF.220V HDS800 TURBK-2, LOC. SÃO LUIS-MA")</f>
      </c>
      <c r="C368" s="4" t="inlineStr">
        <is>
          <t>Vendido</t>
        </is>
      </c>
      <c r="D368" s="4" t="inlineStr">
        <is>
          <t>28</t>
        </is>
      </c>
      <c r="E368" s="5" t="inlineStr">
        <is>
          <t>9.600,00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=HYPERLINK("https://leilaoonline.com.br/lote/detalhe/148929", "1557")</f>
      </c>
      <c r="B369" s="4" t="s">
        <f>=HYPERLINK("https://leilaoonline.com.br/lote/detalhe/148929", " SLS-EQ-034-2022 - 01 MAQUINA DE SOLDA; 36V; 50/60HZ; MIG MAG; EUTECTIC, LOC. SÃO LUIS/MA")</f>
      </c>
      <c r="C369" s="4" t="inlineStr">
        <is>
          <t>Não vendido</t>
        </is>
      </c>
      <c r="D369" s="4" t="inlineStr">
        <is>
          <t>9</t>
        </is>
      </c>
      <c r="E369" s="5" t="inlineStr">
        <is>
          <t>2.900,00</t>
        </is>
      </c>
      <c r="F369" s="4" t="inlineStr">
        <is>
          <t>200.00</t>
        </is>
      </c>
    </row>
    <row collapsed="false" customFormat="false" customHeight="false" hidden="false" ht="12.1" outlineLevel="0" r="370">
      <c r="A370" s="5" t="s">
        <f>=HYPERLINK("https://leilaoonline.com.br/lote/detalhe/148918", "1558")</f>
      </c>
      <c r="B370" s="4" t="s">
        <f>=HYPERLINK("https://leilaoonline.com.br/lote/detalhe/148918", " SLS-EQ-042-2021- APROX.  16 ITENS, MAQUINAS DE SOLDA; ULTRAMAX 200; EUTECTIC , VEJA DESCRITIVO DE ITENS - LOC. SÃO LUIS - MA ")</f>
      </c>
      <c r="C370" s="4" t="inlineStr">
        <is>
          <t>Não vendido</t>
        </is>
      </c>
      <c r="D370" s="4" t="inlineStr">
        <is>
          <t>76</t>
        </is>
      </c>
      <c r="E370" s="5" t="inlineStr">
        <is>
          <t>25.250,00</t>
        </is>
      </c>
      <c r="F370" s="4" t="inlineStr">
        <is>
          <t>500.00</t>
        </is>
      </c>
    </row>
    <row collapsed="false" customFormat="false" customHeight="false" hidden="false" ht="12.1" outlineLevel="0" r="371">
      <c r="A371" s="5" t="s">
        <f>=HYPERLINK("https://leilaoonline.com.br/lote/detalhe/148930", "1559")</f>
      </c>
      <c r="B371" s="4" t="s">
        <f>=HYPERLINK("https://leilaoonline.com.br/lote/detalhe/148930", " SLS-EQZIPI-002-2022- 01 Notebook HP Elitebook 8440p , LOC. São Luís")</f>
      </c>
      <c r="C371" s="4" t="inlineStr">
        <is>
          <t>Vendido</t>
        </is>
      </c>
      <c r="D371" s="4" t="inlineStr">
        <is>
          <t>1</t>
        </is>
      </c>
      <c r="E371" s="5" t="inlineStr">
        <is>
          <t>500,00</t>
        </is>
      </c>
      <c r="F371" s="4" t="inlineStr">
        <is>
          <t>100.00</t>
        </is>
      </c>
    </row>
    <row collapsed="false" customFormat="false" customHeight="false" hidden="false" ht="12.1" outlineLevel="0" r="372">
      <c r="A372" s="5" t="s">
        <f>=HYPERLINK("https://leilaoonline.com.br/lote/detalhe/148921", "1560")</f>
      </c>
      <c r="B372" s="4" t="s">
        <f>=HYPERLINK("https://leilaoonline.com.br/lote/detalhe/148921", " SLS-MRO-019-2022- APROX.  12938 ITENS, ANEIS, PARAFUSOS, VALVULAS E OUTROS- VEJA DESCRITIVO DE ITENS - LOC. SÃO LUIS - MA ")</f>
      </c>
      <c r="C372" s="4" t="inlineStr">
        <is>
          <t>Vendido</t>
        </is>
      </c>
      <c r="D372" s="4" t="inlineStr">
        <is>
          <t>19</t>
        </is>
      </c>
      <c r="E372" s="5" t="inlineStr">
        <is>
          <t>4.700,00</t>
        </is>
      </c>
      <c r="F372" s="4" t="inlineStr">
        <is>
          <t>200.00</t>
        </is>
      </c>
    </row>
    <row collapsed="false" customFormat="false" customHeight="false" hidden="false" ht="12.1" outlineLevel="0" r="373">
      <c r="A373" s="5" t="s">
        <f>=HYPERLINK("https://leilaoonline.com.br/lote/detalhe/148917", "1561")</f>
      </c>
      <c r="B373" s="4" t="s">
        <f>=HYPERLINK("https://leilaoonline.com.br/lote/detalhe/148917", " SLS-MRO-020-2022- APROX.  475 ITENS, BRAÇO SUPERIOR E INFERIOR, VEJA DESCRITIVO DE ITENS - LOC.SÃO LUIS - MA  ")</f>
      </c>
      <c r="C373" s="4" t="inlineStr">
        <is>
          <t>Vendido</t>
        </is>
      </c>
      <c r="D373" s="4" t="inlineStr">
        <is>
          <t>21</t>
        </is>
      </c>
      <c r="E373" s="5" t="inlineStr">
        <is>
          <t>3.900,00</t>
        </is>
      </c>
      <c r="F373" s="4" t="inlineStr">
        <is>
          <t>200.00</t>
        </is>
      </c>
    </row>
    <row collapsed="false" customFormat="false" customHeight="false" hidden="false" ht="12.1" outlineLevel="0" r="374">
      <c r="A374" s="5" t="s">
        <f>=HYPERLINK("https://leilaoonline.com.br/lote/detalhe/148924", "1562")</f>
      </c>
      <c r="B374" s="4" t="s">
        <f>=HYPERLINK("https://leilaoonline.com.br/lote/detalhe/148924", " SLS-MRO-053-2022 - APROX.  11 ITENS, EXTENSÃO OTICA, CAIXADE ROLAMENTO E OUTROS- VEJA DESCRITIVO DE ITENS - LOC..SÃO LUIS - MA   ")</f>
      </c>
      <c r="C374" s="4" t="inlineStr">
        <is>
          <t>Vendido</t>
        </is>
      </c>
      <c r="D374" s="4" t="inlineStr">
        <is>
          <t>38</t>
        </is>
      </c>
      <c r="E374" s="5" t="inlineStr">
        <is>
          <t>6.900,00</t>
        </is>
      </c>
      <c r="F374" s="4" t="inlineStr">
        <is>
          <t>200.00</t>
        </is>
      </c>
    </row>
    <row collapsed="false" customFormat="false" customHeight="false" hidden="false" ht="12.1" outlineLevel="0" r="375">
      <c r="A375" s="5" t="s">
        <f>=HYPERLINK("https://leilaoonline.com.br/lote/detalhe/148922", "1563")</f>
      </c>
      <c r="B375" s="4" t="s">
        <f>=HYPERLINK("https://leilaoonline.com.br/lote/detalhe/148922", " SLS-MRO-054-2022- APROX.  285 ITENS, MOTOREDUTOR, BICOS, ANEIS  E OUTROS- VEJA DESCRITIVO DE ITENS - LOC..SÃO LUIS - MA   ")</f>
      </c>
      <c r="C375" s="4" t="inlineStr">
        <is>
          <t>Não vendido</t>
        </is>
      </c>
      <c r="D375" s="4" t="inlineStr">
        <is>
          <t>16</t>
        </is>
      </c>
      <c r="E375" s="5" t="inlineStr">
        <is>
          <t>2.900,00</t>
        </is>
      </c>
      <c r="F375" s="4" t="inlineStr">
        <is>
          <t>200.00</t>
        </is>
      </c>
    </row>
    <row collapsed="false" customFormat="false" customHeight="false" hidden="false" ht="12.1" outlineLevel="0" r="376">
      <c r="A376" s="5" t="s">
        <f>=HYPERLINK("https://leilaoonline.com.br/lote/detalhe/148916", "1564")</f>
      </c>
      <c r="B376" s="4" t="s">
        <f>=HYPERLINK("https://leilaoonline.com.br/lote/detalhe/148916", " SLS-MRO-055-2022 - APROX.  11 ITENS, MODULOS, REDUTORES E OUTROS- VEJA DESCRITIVO DE ITENS - LOC..SÃO LUIS - MA   ")</f>
      </c>
      <c r="C376" s="4" t="inlineStr">
        <is>
          <t>Não vendido</t>
        </is>
      </c>
      <c r="D376" s="4" t="inlineStr">
        <is>
          <t>71</t>
        </is>
      </c>
      <c r="E376" s="5" t="inlineStr">
        <is>
          <t>20.700,00</t>
        </is>
      </c>
      <c r="F376" s="4" t="inlineStr">
        <is>
          <t>500.00</t>
        </is>
      </c>
    </row>
    <row collapsed="false" customFormat="false" customHeight="false" hidden="false" ht="12.1" outlineLevel="0" r="377">
      <c r="A377" s="5" t="s">
        <f>=HYPERLINK("https://leilaoonline.com.br/lote/detalhe/148919", "1565")</f>
      </c>
      <c r="B377" s="4" t="s">
        <f>=HYPERLINK("https://leilaoonline.com.br/lote/detalhe/148919", " SLS-MRO-057-2022 - APROX.  533 ITENS, CABOS , RETENTORES, ANEIS  E OUTROS- VEJA DESCRITIVO DE ITENS - LOC..SÃO LUIS - MA   ")</f>
      </c>
      <c r="C377" s="4" t="inlineStr">
        <is>
          <t>Não vendido</t>
        </is>
      </c>
      <c r="D377" s="4" t="inlineStr">
        <is>
          <t>41</t>
        </is>
      </c>
      <c r="E377" s="5" t="inlineStr">
        <is>
          <t>7.700,00</t>
        </is>
      </c>
      <c r="F377" s="4" t="inlineStr">
        <is>
          <t>200.00</t>
        </is>
      </c>
    </row>
    <row collapsed="false" customFormat="false" customHeight="false" hidden="false" ht="12.1" outlineLevel="0" r="378">
      <c r="A378" s="5" t="s">
        <f>=HYPERLINK("https://leilaoonline.com.br/lote/detalhe/148927", "1566")</f>
      </c>
      <c r="B378" s="4" t="s">
        <f>=HYPERLINK("https://leilaoonline.com.br/lote/detalhe/148927", " SSG-011-2022-MR0- APROX.  44 ITENS, BOBINAS, RETENTORES E OUTROS- VEJA DESCRITIVO DE ITENS - LOC.CANAA DOS CARAJAS/PA  ")</f>
      </c>
      <c r="C378" s="4" t="inlineStr">
        <is>
          <t>Vendido</t>
        </is>
      </c>
      <c r="D378" s="4" t="inlineStr">
        <is>
          <t>15</t>
        </is>
      </c>
      <c r="E378" s="5" t="inlineStr">
        <is>
          <t>3.000,00</t>
        </is>
      </c>
      <c r="F378" s="4" t="inlineStr">
        <is>
          <t>200.00</t>
        </is>
      </c>
    </row>
    <row collapsed="false" customFormat="false" customHeight="false" hidden="false" ht="12.1" outlineLevel="0" r="379">
      <c r="A379" s="5" t="s">
        <f>=HYPERLINK("https://leilaoonline.com.br/lote/detalhe/148928", "1567")</f>
      </c>
      <c r="B379" s="4" t="s">
        <f>=HYPERLINK("https://leilaoonline.com.br/lote/detalhe/148928", " SSG-055-MRO-2022- APROX.  96 ITENS, MODULOS, PISTÃO E OUTROS- VEJA DESCRITIVO DE ITENS - LOC.CANAA DOS CARAJAS/PA  ")</f>
      </c>
      <c r="C379" s="4" t="inlineStr">
        <is>
          <t>Não vendido</t>
        </is>
      </c>
      <c r="D379" s="4" t="inlineStr">
        <is>
          <t>1</t>
        </is>
      </c>
      <c r="E379" s="5" t="inlineStr">
        <is>
          <t>500,00</t>
        </is>
      </c>
      <c r="F379" s="4" t="inlineStr">
        <is>
          <t>100.00</t>
        </is>
      </c>
    </row>
    <row collapsed="false" customFormat="false" customHeight="false" hidden="false" ht="12.1" outlineLevel="0" r="380">
      <c r="A380" s="5" t="s">
        <f>=HYPERLINK("https://leilaoonline.com.br/lote/detalhe/148920", "1568")</f>
      </c>
      <c r="B380" s="4" t="s">
        <f>=HYPERLINK("https://leilaoonline.com.br/lote/detalhe/148920", " TIG-036-2022 - APROX. 111 ITENS. - BUCHAS, TERMINAL  E OUTROS- VEJA DESCRITIVO DE ITENS - LOC.Mangaratiba - RJ")</f>
      </c>
      <c r="C380" s="4" t="inlineStr">
        <is>
          <t>Não vendido</t>
        </is>
      </c>
      <c r="D380" s="4" t="inlineStr">
        <is>
          <t>0</t>
        </is>
      </c>
      <c r="E380" s="5" t="inlineStr">
        <is>
          <t>500,00</t>
        </is>
      </c>
      <c r="F380" s="4" t="inlineStr">
        <is>
          <t>100.00</t>
        </is>
      </c>
    </row>
    <row collapsed="false" customFormat="false" customHeight="false" hidden="false" ht="12.1" outlineLevel="0" r="381">
      <c r="A381" s="5" t="s">
        <f>=HYPERLINK("https://leilaoonline.com.br/lote/detalhe/148923", "1569")</f>
      </c>
      <c r="B381" s="4" t="s">
        <f>=HYPERLINK("https://leilaoonline.com.br/lote/detalhe/148923", " VIGA-047-2022-  APROX. 14 ITENS, ROTORES, ANEIS , CUNHAS E OUTROS- VEJA DESCRITIVO DE ITENS - LOC.CONGONHAS/MG")</f>
      </c>
      <c r="C381" s="4" t="inlineStr">
        <is>
          <t>Vendido</t>
        </is>
      </c>
      <c r="D381" s="4" t="inlineStr">
        <is>
          <t>45</t>
        </is>
      </c>
      <c r="E381" s="5" t="inlineStr">
        <is>
          <t>15.000,00</t>
        </is>
      </c>
      <c r="F381" s="4" t="inlineStr">
        <is>
          <t>500.00</t>
        </is>
      </c>
    </row>
    <row collapsed="false" customFormat="false" customHeight="false" hidden="false" ht="12.1" outlineLevel="0" r="382">
      <c r="A382" s="5" t="s">
        <f>=HYPERLINK("https://leilaoonline.com.br/lote/detalhe/148932", "1570")</f>
      </c>
      <c r="B382" s="4" t="s">
        <f>=HYPERLINK("https://leilaoonline.com.br/lote/detalhe/148932", " 082-454-2022 - COMPRESSOR CHICAGO PNEUMÁTICO, MOD. PRPD100MP-082, ANO 2020. - LOC. VITÓRIA/ES")</f>
      </c>
      <c r="C382" s="4" t="inlineStr">
        <is>
          <t>Vendido</t>
        </is>
      </c>
      <c r="D382" s="4" t="inlineStr">
        <is>
          <t>13</t>
        </is>
      </c>
      <c r="E382" s="5" t="inlineStr">
        <is>
          <t>2.300,00</t>
        </is>
      </c>
      <c r="F382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2026-04-15T15:34:01.00Z</dcterms:created>
  <dc:creator>Tellks Tecnologia</dc:creator>
  <cp:revision>0</cp:revision>
</cp:coreProperties>
</file>