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- CAMINHÕES - MOTORES - FORA ESTRADA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=HYPERLINK("https://leilaoonline.com.br/lote/detalhe/144847", "1000")</f>
      </c>
      <c r="B11" s="4" t="s">
        <f>=HYPERLINK("https://leilaoonline.com.br/lote/detalhe/144847", " CKS-ATI-059-2022 - CAMINHÃO KOMATSU, MOD. 830E, ANO 2006. - LOC. CARAJÁS/PA")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470.000,00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=HYPERLINK("https://leilaoonline.com.br/lote/detalhe/144844", "1001")</f>
      </c>
      <c r="B12" s="4" t="s">
        <f>=HYPERLINK("https://leilaoonline.com.br/lote/detalhe/144844", " CKS-ATI-061-2022 - EMPILHADEIRA HYUNDAI, MOD. 160D-7E, ANO 2011. - LOC. CARAJÁS/PA")</f>
      </c>
      <c r="C12" s="4" t="inlineStr">
        <is>
          <t>Vendido</t>
        </is>
      </c>
      <c r="D12" s="4" t="inlineStr">
        <is>
          <t>96</t>
        </is>
      </c>
      <c r="E12" s="5" t="inlineStr">
        <is>
          <t>244.000,00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=HYPERLINK("https://leilaoonline.com.br/lote/detalhe/144849", "1002")</f>
      </c>
      <c r="B13" s="4" t="s">
        <f>=HYPERLINK("https://leilaoonline.com.br/lote/detalhe/144849", " CKS-ATI-066-2022 - RETROESCAVADEIRA CATERPILLAR, MOD. 345D, ANO  2011. - LOC. CARAJÁS/PA")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250.000,00</t>
        </is>
      </c>
      <c r="F13" s="4" t="inlineStr">
        <is>
          <t>10000.00</t>
        </is>
      </c>
    </row>
    <row collapsed="false" customFormat="false" customHeight="false" hidden="false" ht="12.1" outlineLevel="0" r="14">
      <c r="A14" s="5" t="s">
        <f>=HYPERLINK("https://leilaoonline.com.br/lote/detalhe/144859", "1003")</f>
      </c>
      <c r="B14" s="4" t="s">
        <f>=HYPERLINK("https://leilaoonline.com.br/lote/detalhe/144859", " CKS-ATI-058-2022  - GUINDASTE LIEBHERR, MOD. LTM115, ANO 2002. - LOC. CARAJÁS/PA")</f>
      </c>
      <c r="C14" s="4" t="inlineStr">
        <is>
          <t>Vendido</t>
        </is>
      </c>
      <c r="D14" s="4" t="inlineStr">
        <is>
          <t>93</t>
        </is>
      </c>
      <c r="E14" s="5" t="inlineStr">
        <is>
          <t>1.296.000,00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=HYPERLINK("https://leilaoonline.com.br/lote/detalhe/144856", "1004")</f>
      </c>
      <c r="B15" s="4" t="s">
        <f>=HYPERLINK("https://leilaoonline.com.br/lote/detalhe/144856", " GOV-021-2022 - CAMINHÃO MUNK MERCEDES BENZ, MOD. 1418R, ANO 2001. - LOC. NOVA ERA/MG")</f>
      </c>
      <c r="C15" s="4" t="inlineStr">
        <is>
          <t>Vendido</t>
        </is>
      </c>
      <c r="D15" s="4" t="inlineStr">
        <is>
          <t>70</t>
        </is>
      </c>
      <c r="E15" s="5" t="inlineStr">
        <is>
          <t>131.000,00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=HYPERLINK("https://leilaoonline.com.br/lote/detalhe/144910", "1005")</f>
      </c>
      <c r="B16" s="4" t="s">
        <f>=HYPERLINK("https://leilaoonline.com.br/lote/detalhe/144910", " GOV-031-2022 - CAMINHÃO MUNK MERCEDES BENZ, MOD. 1720, ANO 2002. - LOC. NOVA ERA/MG")</f>
      </c>
      <c r="C16" s="4" t="inlineStr">
        <is>
          <t>Vendido</t>
        </is>
      </c>
      <c r="D16" s="4" t="inlineStr">
        <is>
          <t>65</t>
        </is>
      </c>
      <c r="E16" s="5" t="inlineStr">
        <is>
          <t>139.000,00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=HYPERLINK("https://leilaoonline.com.br/lote/detalhe/144907", "1006")</f>
      </c>
      <c r="B17" s="4" t="s">
        <f>=HYPERLINK("https://leilaoonline.com.br/lote/detalhe/144907", " GOV-039-2022 - CARREGADEIRA CATERPILLAR, MOD. 950H, ANO 2007. - LOC. GOVERNADOR VALADARES/MG")</f>
      </c>
      <c r="C17" s="4" t="inlineStr">
        <is>
          <t>Vendido</t>
        </is>
      </c>
      <c r="D17" s="4" t="inlineStr">
        <is>
          <t>47</t>
        </is>
      </c>
      <c r="E17" s="5" t="inlineStr">
        <is>
          <t>211.000,00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=HYPERLINK("https://leilaoonline.com.br/lote/detalhe/144908", "1007")</f>
      </c>
      <c r="B18" s="4" t="s">
        <f>=HYPERLINK("https://leilaoonline.com.br/lote/detalhe/144908", " GOV-040-2022 - TRATOR DE ESTEIRA CATERPILLAR, MOD. D8L/310 HP, ANO 1985. - LOC. NOVA ERA/MG")</f>
      </c>
      <c r="C18" s="4" t="inlineStr">
        <is>
          <t>Vendido</t>
        </is>
      </c>
      <c r="D18" s="4" t="inlineStr">
        <is>
          <t>32</t>
        </is>
      </c>
      <c r="E18" s="5" t="inlineStr">
        <is>
          <t>179.000,00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=HYPERLINK("https://leilaoonline.com.br/lote/detalhe/144876", "1008")</f>
      </c>
      <c r="B19" s="4" t="s">
        <f>=HYPERLINK("https://leilaoonline.com.br/lote/detalhe/144876", " ITA-041-2022- Caminhão M.B. AXOR 2831 6X4, ANO 2013, LOC. ITABIRA / MG ")</f>
      </c>
      <c r="C19" s="4" t="inlineStr">
        <is>
          <t>Vendido</t>
        </is>
      </c>
      <c r="D19" s="4" t="inlineStr">
        <is>
          <t>164</t>
        </is>
      </c>
      <c r="E19" s="5" t="inlineStr">
        <is>
          <t>208.000,00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=HYPERLINK("https://leilaoonline.com.br/lote/detalhe/144851", "1009")</f>
      </c>
      <c r="B20" s="4" t="s">
        <f>=HYPERLINK("https://leilaoonline.com.br/lote/detalhe/144851", " ITA-047-2022- Niveladora CATERPILLAR , 16M, ANO 2011, SER.B9H00841,  LOC. ITABIRA / MG ")</f>
      </c>
      <c r="C20" s="4" t="inlineStr">
        <is>
          <t>Vendido</t>
        </is>
      </c>
      <c r="D20" s="4" t="inlineStr">
        <is>
          <t>12</t>
        </is>
      </c>
      <c r="E20" s="5" t="inlineStr">
        <is>
          <t>81.000,00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=HYPERLINK("https://leilaoonline.com.br/lote/detalhe/144854", "1010")</f>
      </c>
      <c r="B21" s="4" t="s">
        <f>=HYPERLINK("https://leilaoonline.com.br/lote/detalhe/144854", " ITA-048-2022- Niveladora CATERPILLAR, 24M, ANO 2009, SERIE B9K00322, LOC. ITABIRA / MG")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100.000,00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=HYPERLINK("https://leilaoonline.com.br/lote/detalhe/144855", "1011")</f>
      </c>
      <c r="B22" s="4" t="s">
        <f>=HYPERLINK("https://leilaoonline.com.br/lote/detalhe/144855", " ITA-049-2022- Escavadeira LIEBHERR, MOD. 964C, ANO 2013, SERIE 116533790, LOC. ITABIRA / MG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=HYPERLINK("https://leilaoonline.com.br/lote/detalhe/144872", "1012")</f>
      </c>
      <c r="B23" s="4" t="s">
        <f>=HYPERLINK("https://leilaoonline.com.br/lote/detalhe/144872", " ITA-050-2022 - Escavadeira LIEBHERR, MOD.964C, ANO 2013, SERIE 116533044,  LOC. ITABIRA / MG 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=HYPERLINK("https://leilaoonline.com.br/lote/detalhe/144882", "1013")</f>
      </c>
      <c r="B24" s="4" t="s">
        <f>=HYPERLINK("https://leilaoonline.com.br/lote/detalhe/144882", " ITA-051-2022- Escavadeira CATERPILLAR, MOD. 336D, ANO 2013, SERIE M4T02354, LOC. ITABIRA / MG  ")</f>
      </c>
      <c r="C24" s="4" t="inlineStr">
        <is>
          <t>Vendido</t>
        </is>
      </c>
      <c r="D24" s="4" t="inlineStr">
        <is>
          <t>40</t>
        </is>
      </c>
      <c r="E24" s="5" t="inlineStr">
        <is>
          <t>69.000,00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=HYPERLINK("https://leilaoonline.com.br/lote/detalhe/144870", "1014")</f>
      </c>
      <c r="B25" s="4" t="s">
        <f>=HYPERLINK("https://leilaoonline.com.br/lote/detalhe/144870", " ITA-052-2022 - Guindaste DEMAG, MOD. AC-120, ANO 2000, SERIE 36690140448053, LOC. ITABIRA / MG  ")</f>
      </c>
      <c r="C25" s="4" t="inlineStr">
        <is>
          <t>Vendido</t>
        </is>
      </c>
      <c r="D25" s="4" t="inlineStr">
        <is>
          <t>36</t>
        </is>
      </c>
      <c r="E25" s="5" t="inlineStr">
        <is>
          <t>582.000,00</t>
        </is>
      </c>
      <c r="F25" s="4" t="inlineStr">
        <is>
          <t>10000.00</t>
        </is>
      </c>
    </row>
    <row collapsed="false" customFormat="false" customHeight="false" hidden="false" ht="12.1" outlineLevel="0" r="26">
      <c r="A26" s="5" t="s">
        <f>=HYPERLINK("https://leilaoonline.com.br/lote/detalhe/144898", "1015")</f>
      </c>
      <c r="B26" s="4" t="s">
        <f>=HYPERLINK("https://leilaoonline.com.br/lote/detalhe/144898", " ITA-054-2022 - PERFURATRIZ TEREX, MOD. TEREX REEDRIL SKSW, ANO 2008, SERIE 1S66A82, LOC. ITABIRA / MG ")</f>
      </c>
      <c r="C26" s="4" t="inlineStr">
        <is>
          <t>Vendido</t>
        </is>
      </c>
      <c r="D26" s="4" t="inlineStr">
        <is>
          <t>24</t>
        </is>
      </c>
      <c r="E26" s="5" t="inlineStr">
        <is>
          <t>35.500,00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=HYPERLINK("https://leilaoonline.com.br/lote/detalhe/144902", "1016")</f>
      </c>
      <c r="B27" s="4" t="s">
        <f>=HYPERLINK("https://leilaoonline.com.br/lote/detalhe/144902", " OIA-021-2022 - CAMINHÃO ARTICULADO CATERPILLAR 740 39.5 TON, 2008 - LOC. Ourilândia/ PA")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80.000,00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=HYPERLINK("https://leilaoonline.com.br/lote/detalhe/144912", "1017")</f>
      </c>
      <c r="B28" s="4" t="s">
        <f>=HYPERLINK("https://leilaoonline.com.br/lote/detalhe/144912", " OIA-022-2022 - CAMINHÃO ARTICULADO CATERPILLAR 740 39.5 TON, 2008 - LOC. Ourilândia/ PA")</f>
      </c>
      <c r="C28" s="4" t="inlineStr">
        <is>
          <t>Vendido</t>
        </is>
      </c>
      <c r="D28" s="4" t="inlineStr">
        <is>
          <t>7</t>
        </is>
      </c>
      <c r="E28" s="5" t="inlineStr">
        <is>
          <t>133.506,00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=HYPERLINK("https://leilaoonline.com.br/lote/detalhe/144880", "1018")</f>
      </c>
      <c r="B29" s="4" t="s">
        <f>=HYPERLINK("https://leilaoonline.com.br/lote/detalhe/144880", " ITA-012-2022 - 08 PAINEIS ELETRICOS, LOC. ITABIRA/MG")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=HYPERLINK("https://leilaoonline.com.br/lote/detalhe/144883", "1019")</f>
      </c>
      <c r="B30" s="4" t="s">
        <f>=HYPERLINK("https://leilaoonline.com.br/lote/detalhe/144883", " ITA-038-2022 - Plataforma elevatória, MOD. 1350 SJP, ANO 2011, LOC. ITABIRA / MG ")</f>
      </c>
      <c r="C30" s="4" t="inlineStr">
        <is>
          <t>Vendido</t>
        </is>
      </c>
      <c r="D30" s="4" t="inlineStr">
        <is>
          <t>129</t>
        </is>
      </c>
      <c r="E30" s="5" t="inlineStr">
        <is>
          <t>280.000,00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=HYPERLINK("https://leilaoonline.com.br/lote/detalhe/144850", "1020")</f>
      </c>
      <c r="B31" s="4" t="s">
        <f>=HYPERLINK("https://leilaoonline.com.br/lote/detalhe/144850", " ITA-039-2022- Plataforma elevatória, MOD. HA16SPX, ANO 2009, LOC. ITABIRA / MG ")</f>
      </c>
      <c r="C31" s="4" t="inlineStr">
        <is>
          <t>Vendido</t>
        </is>
      </c>
      <c r="D31" s="4" t="inlineStr">
        <is>
          <t>111</t>
        </is>
      </c>
      <c r="E31" s="5" t="inlineStr">
        <is>
          <t>144.000,00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=HYPERLINK("https://leilaoonline.com.br/lote/detalhe/144853", "1021")</f>
      </c>
      <c r="B32" s="4" t="s">
        <f>=HYPERLINK("https://leilaoonline.com.br/lote/detalhe/144853", " SLS-EQ-013-2022 - Escavadeira CARTEPILLAR, CAT 323D, 2009 - LOC: São Luís - MA")</f>
      </c>
      <c r="C32" s="4" t="inlineStr">
        <is>
          <t>Vendido</t>
        </is>
      </c>
      <c r="D32" s="4" t="inlineStr">
        <is>
          <t>19</t>
        </is>
      </c>
      <c r="E32" s="5" t="inlineStr">
        <is>
          <t>147.000,00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=HYPERLINK("https://leilaoonline.com.br/lote/detalhe/144875", "1022")</f>
      </c>
      <c r="B33" s="4" t="s">
        <f>=HYPERLINK("https://leilaoonline.com.br/lote/detalhe/144875", " SLS-EQ-025-2022 - Escavadeira CATERPILLAR, 336DL, 2014 - LOC: São Luís - MA")</f>
      </c>
      <c r="C33" s="4" t="inlineStr">
        <is>
          <t>Vendido</t>
        </is>
      </c>
      <c r="D33" s="4" t="inlineStr">
        <is>
          <t>1</t>
        </is>
      </c>
      <c r="E33" s="5" t="inlineStr">
        <is>
          <t>250.000,00</t>
        </is>
      </c>
      <c r="F33" s="4" t="inlineStr">
        <is>
          <t>10000.00</t>
        </is>
      </c>
    </row>
    <row collapsed="false" customFormat="false" customHeight="false" hidden="false" ht="12.1" outlineLevel="0" r="34">
      <c r="A34" s="5" t="s">
        <f>=HYPERLINK("https://leilaoonline.com.br/lote/detalhe/144881", "1023")</f>
      </c>
      <c r="B34" s="4" t="s">
        <f>=HYPERLINK("https://leilaoonline.com.br/lote/detalhe/144881", " SSG-016-2022 - PF2106 - Perfuratriz BUCYRUS 49HR(MD6640), 2007 - LOC: CANAA DOS CARAJAS/ PA")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36.000,00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=HYPERLINK("https://leilaoonline.com.br/lote/detalhe/144860", "1024")</f>
      </c>
      <c r="B35" s="4" t="s">
        <f>=HYPERLINK("https://leilaoonline.com.br/lote/detalhe/144860", " SSG-017-2022 - TP5602 - Trator de pneu CATERPILLAR, 854G, 2008 - LOC: CANAA DOS CARAJAS/ PA")</f>
      </c>
      <c r="C35" s="4" t="inlineStr">
        <is>
          <t>Vendido</t>
        </is>
      </c>
      <c r="D35" s="4" t="inlineStr">
        <is>
          <t>70</t>
        </is>
      </c>
      <c r="E35" s="5" t="inlineStr">
        <is>
          <t>131.000,00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=HYPERLINK("https://leilaoonline.com.br/lote/detalhe/144861", "1025")</f>
      </c>
      <c r="B36" s="4" t="s">
        <f>=HYPERLINK("https://leilaoonline.com.br/lote/detalhe/144861", " VIG-CB071-2022 - Caminhão basculante ACTROS 4844K 8x4, 2016 - LOC: CONGONHAS/MG")</f>
      </c>
      <c r="C36" s="4" t="inlineStr">
        <is>
          <t>Vendido</t>
        </is>
      </c>
      <c r="D36" s="4" t="inlineStr">
        <is>
          <t>2</t>
        </is>
      </c>
      <c r="E36" s="5" t="inlineStr">
        <is>
          <t>172.000,00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=HYPERLINK("https://leilaoonline.com.br/lote/detalhe/144879", "1026")</f>
      </c>
      <c r="B37" s="4" t="s">
        <f>=HYPERLINK("https://leilaoonline.com.br/lote/detalhe/144879", " VIG-CB072-2022 - Caminhão basculante ACTROS 4844K 8x4, 2016 - LOC: CONGONHAS/MG")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=HYPERLINK("https://leilaoonline.com.br/lote/detalhe/144848", "1027")</f>
      </c>
      <c r="B38" s="4" t="s">
        <f>=HYPERLINK("https://leilaoonline.com.br/lote/detalhe/144848", " VIG-CB075-2022 - Caminhão basculante ACTROS 4844K 8x4, 2016 - LOC: CONGONHAS/MG")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=HYPERLINK("https://leilaoonline.com.br/lote/detalhe/144873", "1028")</f>
      </c>
      <c r="B39" s="4" t="s">
        <f>=HYPERLINK("https://leilaoonline.com.br/lote/detalhe/144873", " VIG-CB076-2022 - Caminhão basculante ACTROS 4844K 8x4, 2017 - LOC: CONGONHAS/MG")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140.000,00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=HYPERLINK("https://leilaoonline.com.br/lote/detalhe/144866", "1029")</f>
      </c>
      <c r="B40" s="4" t="s">
        <f>=HYPERLINK("https://leilaoonline.com.br/lote/detalhe/144866", " VIG-CB077-2022 - Caminhão basculante ACTROS 4844K 8x4, 2017 - LOC: CONGONHAS/MG")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180.000,00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=HYPERLINK("https://leilaoonline.com.br/lote/detalhe/144862", "1030")</f>
      </c>
      <c r="B41" s="4" t="s">
        <f>=HYPERLINK("https://leilaoonline.com.br/lote/detalhe/144862", " VIG-CB080-2022 - Caminhão basculante ACTROS 4844K 8x4, 2017 - LOC: CONGONHAS/MG")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180.000,00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=HYPERLINK("https://leilaoonline.com.br/lote/detalhe/144865", "1031")</f>
      </c>
      <c r="B42" s="4" t="s">
        <f>=HYPERLINK("https://leilaoonline.com.br/lote/detalhe/144865", " VIG-CB081-2022 - Caminhão basculante ACTROS 4844K 8x4, 2017 - LOC: CONGONHAS/MG")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180.000,00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=HYPERLINK("https://leilaoonline.com.br/lote/detalhe/144874", "1032")</f>
      </c>
      <c r="B43" s="4" t="s">
        <f>=HYPERLINK("https://leilaoonline.com.br/lote/detalhe/144874", " VIG-CB082-2022 - Caminhão basculante ACTROS 4844K 8x4, 2017 - LOC: CONGONHAS/MG")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180.000,00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=HYPERLINK("https://leilaoonline.com.br/lote/detalhe/144852", "1033")</f>
      </c>
      <c r="B44" s="4" t="s">
        <f>=HYPERLINK("https://leilaoonline.com.br/lote/detalhe/144852", " VIG-EH005-2022 - Escavadeira Caterpillar 374D - 476HP, 2013 - LOC: CONGONHAS/MG")</f>
      </c>
      <c r="C44" s="4" t="inlineStr">
        <is>
          <t>Vendido</t>
        </is>
      </c>
      <c r="D44" s="4" t="inlineStr">
        <is>
          <t>72</t>
        </is>
      </c>
      <c r="E44" s="5" t="inlineStr">
        <is>
          <t>139.000,00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=HYPERLINK("https://leilaoonline.com.br/lote/detalhe/144843", "1034")</f>
      </c>
      <c r="B45" s="4" t="s">
        <f>=HYPERLINK("https://leilaoonline.com.br/lote/detalhe/144843", " 082-405-2022 - MOTOR CA H500 4,16KV 4080 CV 8P B3D. - LOC. VITÓRIA/ES")</f>
      </c>
      <c r="C45" s="4" t="inlineStr">
        <is>
          <t>Vendido</t>
        </is>
      </c>
      <c r="D45" s="4" t="inlineStr">
        <is>
          <t>2</t>
        </is>
      </c>
      <c r="E45" s="5" t="inlineStr">
        <is>
          <t>16.000,00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=HYPERLINK("https://leilaoonline.com.br/lote/detalhe/144892", "1035")</f>
      </c>
      <c r="B46" s="4" t="s">
        <f>=HYPERLINK("https://leilaoonline.com.br/lote/detalhe/144892", " 082-409-2022 - MOTOR CA H500 4,16KV 5440CV 8P B3D. - LOC. VITÓRIA/ES")</f>
      </c>
      <c r="C46" s="4" t="inlineStr">
        <is>
          <t>Vendido</t>
        </is>
      </c>
      <c r="D46" s="4" t="inlineStr">
        <is>
          <t>1</t>
        </is>
      </c>
      <c r="E46" s="5" t="inlineStr">
        <is>
          <t>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=HYPERLINK("https://leilaoonline.com.br/lote/detalhe/144896", "1036")</f>
      </c>
      <c r="B47" s="4" t="s">
        <f>=HYPERLINK("https://leilaoonline.com.br/lote/detalhe/144896", " 082-410-2022 - GUIDASTE ATLAS, MOD. AK4006, ANO 1998. - LOC. VITÓRIA/ES")</f>
      </c>
      <c r="C47" s="4" t="inlineStr">
        <is>
          <t>Vendido</t>
        </is>
      </c>
      <c r="D47" s="4" t="inlineStr">
        <is>
          <t>16</t>
        </is>
      </c>
      <c r="E47" s="5" t="inlineStr">
        <is>
          <t>32.000,00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=HYPERLINK("https://leilaoonline.com.br/lote/detalhe/144894", "1037")</f>
      </c>
      <c r="B48" s="4" t="s">
        <f>=HYPERLINK("https://leilaoonline.com.br/lote/detalhe/144894", " 082-411-2022 - GUIDASTE ATLAS, MOD. AK4006, ANO 2009. - LOC. VITÓRIA/ES")</f>
      </c>
      <c r="C48" s="4" t="inlineStr">
        <is>
          <t>Vendido</t>
        </is>
      </c>
      <c r="D48" s="4" t="inlineStr">
        <is>
          <t>17</t>
        </is>
      </c>
      <c r="E48" s="5" t="inlineStr">
        <is>
          <t>32.000,00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=HYPERLINK("https://leilaoonline.com.br/lote/detalhe/144887", "1038")</f>
      </c>
      <c r="B49" s="4" t="s">
        <f>=HYPERLINK("https://leilaoonline.com.br/lote/detalhe/144887", " 082-412-2022 - GUIDASTE ATLAS, MOD. AK4006R, ANO 2007. - LOC. VITÓRIA/ES")</f>
      </c>
      <c r="C49" s="4" t="inlineStr">
        <is>
          <t>Não vendido</t>
        </is>
      </c>
      <c r="D49" s="4" t="inlineStr">
        <is>
          <t>26</t>
        </is>
      </c>
      <c r="E49" s="5" t="inlineStr">
        <is>
          <t>45.000,00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=HYPERLINK("https://leilaoonline.com.br/lote/detalhe/144885", "1039")</f>
      </c>
      <c r="B50" s="4" t="s">
        <f>=HYPERLINK("https://leilaoonline.com.br/lote/detalhe/144885", " 082-413-2022 - GUIDASTE ATLAS, MOD. AK4006R, ANO 2017. - LOC. VITÓRIA/ES")</f>
      </c>
      <c r="C50" s="4" t="inlineStr">
        <is>
          <t>Vendido</t>
        </is>
      </c>
      <c r="D50" s="4" t="inlineStr">
        <is>
          <t>28</t>
        </is>
      </c>
      <c r="E50" s="5" t="inlineStr">
        <is>
          <t>44.000,00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=HYPERLINK("https://leilaoonline.com.br/lote/detalhe/144890", "1040")</f>
      </c>
      <c r="B51" s="4" t="s">
        <f>=HYPERLINK("https://leilaoonline.com.br/lote/detalhe/144890", " 082-414-2022 - QUADRICICLO HONDA, MOD. TRX420TM, ANO 2011/2011. - LOC. VITÓRIA/ES")</f>
      </c>
      <c r="C51" s="4" t="inlineStr">
        <is>
          <t>Vendido</t>
        </is>
      </c>
      <c r="D51" s="4" t="inlineStr">
        <is>
          <t>23</t>
        </is>
      </c>
      <c r="E51" s="5" t="inlineStr">
        <is>
          <t>36.500,00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=HYPERLINK("https://leilaoonline.com.br/lote/detalhe/144900", "1041")</f>
      </c>
      <c r="B52" s="4" t="s">
        <f>=HYPERLINK("https://leilaoonline.com.br/lote/detalhe/144900", " 082-415-2022 - QUADRICICLO HONDA, MOD. TRX420TM, ANO 2011/2011. - LOC. VITÓRIA/ES")</f>
      </c>
      <c r="C52" s="4" t="inlineStr">
        <is>
          <t>Vendido</t>
        </is>
      </c>
      <c r="D52" s="4" t="inlineStr">
        <is>
          <t>24</t>
        </is>
      </c>
      <c r="E52" s="5" t="inlineStr">
        <is>
          <t>36.000,00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=HYPERLINK("https://leilaoonline.com.br/lote/detalhe/144842", "1042")</f>
      </c>
      <c r="B53" s="4" t="s">
        <f>=HYPERLINK("https://leilaoonline.com.br/lote/detalhe/144842", " 082-420-2022 - MOTOR CA H630 4160VCA 5435CV 8 B3D/E - LOC. VITÓRIA/ES")</f>
      </c>
      <c r="C53" s="4" t="inlineStr">
        <is>
          <t>Vendido</t>
        </is>
      </c>
      <c r="D53" s="4" t="inlineStr">
        <is>
          <t>9</t>
        </is>
      </c>
      <c r="E53" s="5" t="inlineStr">
        <is>
          <t>28.000,00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=HYPERLINK("https://leilaoonline.com.br/lote/detalhe/144858", "1043")</f>
      </c>
      <c r="B54" s="4" t="s">
        <f>=HYPERLINK("https://leilaoonline.com.br/lote/detalhe/144858", " ACA-EQ-006-2022 - GUINDASTE PALFINGER, MOD. PKK12500, ANO 2010. - LOC. AÇAILÂNDIA/MA")</f>
      </c>
      <c r="C54" s="4" t="inlineStr">
        <is>
          <t>Vendido</t>
        </is>
      </c>
      <c r="D54" s="4" t="inlineStr">
        <is>
          <t>10</t>
        </is>
      </c>
      <c r="E54" s="5" t="inlineStr">
        <is>
          <t>21.500,00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=HYPERLINK("https://leilaoonline.com.br/lote/detalhe/144864", "1044")</f>
      </c>
      <c r="B55" s="4" t="s">
        <f>=HYPERLINK("https://leilaoonline.com.br/lote/detalhe/144864", " CD-171-2022 - 1 COMANDO FINAL 1982700621 KOMATSU - LOC. BARÃO DE COCAIS/MG")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=HYPERLINK("https://leilaoonline.com.br/lote/detalhe/144857", "1045")</f>
      </c>
      <c r="B56" s="4" t="s">
        <f>=HYPERLINK("https://leilaoonline.com.br/lote/detalhe/144857", " CD-172-2022 - 1 TRANSMISSION WD500 - LOC. BARÃO DE COCAIS/MG")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=HYPERLINK("https://leilaoonline.com.br/lote/detalhe/144871", "1046")</f>
      </c>
      <c r="B57" s="4" t="s">
        <f>=HYPERLINK("https://leilaoonline.com.br/lote/detalhe/144871", " CD-173-2022 - 1 CONVERSOR DE TORQUE 1T2028 CATERPILLAR. - LOC. BARÃO DE COCAIS/MG")</f>
      </c>
      <c r="C57" s="4" t="inlineStr">
        <is>
          <t>Não vendido</t>
        </is>
      </c>
      <c r="D57" s="4" t="inlineStr">
        <is>
          <t>15</t>
        </is>
      </c>
      <c r="E57" s="5" t="inlineStr">
        <is>
          <t>12.000,00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=HYPERLINK("https://leilaoonline.com.br/lote/detalhe/144878", "1047")</f>
      </c>
      <c r="B58" s="4" t="s">
        <f>=HYPERLINK("https://leilaoonline.com.br/lote/detalhe/144878", " GOV-020-2022 - CAMINHÃO MERCEDES BENZ, MOD. L710, ANO 2003, DIESEL - LOC. NOVA ERA/MG")</f>
      </c>
      <c r="C58" s="4" t="inlineStr">
        <is>
          <t>Vendido</t>
        </is>
      </c>
      <c r="D58" s="4" t="inlineStr">
        <is>
          <t>44</t>
        </is>
      </c>
      <c r="E58" s="5" t="inlineStr">
        <is>
          <t>74.000,00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=HYPERLINK("https://leilaoonline.com.br/lote/detalhe/144863", "1048")</f>
      </c>
      <c r="B59" s="4" t="s">
        <f>=HYPERLINK("https://leilaoonline.com.br/lote/detalhe/144863", " CKS-ATI-060-2022 - TALHA 3 TON TE 1810KN 01, ANO 2011. - LOC. CARAJÁS/PA")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=HYPERLINK("https://leilaoonline.com.br/lote/detalhe/144911", "1049")</f>
      </c>
      <c r="B60" s="4" t="s">
        <f>=HYPERLINK("https://leilaoonline.com.br/lote/detalhe/144911", " SFH-626-CC004-2022 - BOBCAT S185, 2011 - LOC: SIMÕES FILHO / BAHIA")</f>
      </c>
      <c r="C60" s="4" t="inlineStr">
        <is>
          <t>Vendido</t>
        </is>
      </c>
      <c r="D60" s="4" t="inlineStr">
        <is>
          <t>61</t>
        </is>
      </c>
      <c r="E60" s="5" t="inlineStr">
        <is>
          <t>78.000,00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=HYPERLINK("https://leilaoonline.com.br/lote/detalhe/144846", "1050")</f>
      </c>
      <c r="B61" s="4" t="s">
        <f>=HYPERLINK("https://leilaoonline.com.br/lote/detalhe/144846", " CKS-ATI-063-2022 - PLATAFORMA ELEVATÓRIA GENIE, MOD. Z 4525, ANO 2013. - LOC. CARAJAS/PA")</f>
      </c>
      <c r="C61" s="4" t="inlineStr">
        <is>
          <t>Vendido</t>
        </is>
      </c>
      <c r="D61" s="4" t="inlineStr">
        <is>
          <t>65</t>
        </is>
      </c>
      <c r="E61" s="5" t="inlineStr">
        <is>
          <t>89.000,00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=HYPERLINK("https://leilaoonline.com.br/lote/detalhe/144901", "1051")</f>
      </c>
      <c r="B62" s="4" t="s">
        <f>=HYPERLINK("https://leilaoonline.com.br/lote/detalhe/144901", " SFH-626-CC002-2022 - BOBCAT S175, 2011 - LOC: SIMÕES FILHO / BAHIA")</f>
      </c>
      <c r="C62" s="4" t="inlineStr">
        <is>
          <t>Vendido</t>
        </is>
      </c>
      <c r="D62" s="4" t="inlineStr">
        <is>
          <t>24</t>
        </is>
      </c>
      <c r="E62" s="5" t="inlineStr">
        <is>
          <t>41.000,00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=HYPERLINK("https://leilaoonline.com.br/lote/detalhe/144869", "1052")</f>
      </c>
      <c r="B63" s="4" t="s">
        <f>=HYPERLINK("https://leilaoonline.com.br/lote/detalhe/144869", " CKS-ATI-064-2022 - PRANCHA HERCULES EQUIPM, MOD. PRHE130T, ANO 2012. - LOC. CARAJÁS/PA")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=HYPERLINK("https://leilaoonline.com.br/lote/detalhe/144916", "1053")</f>
      </c>
      <c r="B64" s="4" t="s">
        <f>=HYPERLINK("https://leilaoonline.com.br/lote/detalhe/144916", " SLS-EQ-006-2022 - Escavadeira CATERPILLAR, 312 DL, 2011 - LOC: São Luís - MA")</f>
      </c>
      <c r="C64" s="4" t="inlineStr">
        <is>
          <t>Não vendido</t>
        </is>
      </c>
      <c r="D64" s="4" t="inlineStr">
        <is>
          <t>41</t>
        </is>
      </c>
      <c r="E64" s="5" t="inlineStr">
        <is>
          <t>195.500,00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=HYPERLINK("https://leilaoonline.com.br/lote/detalhe/144845", "1054")</f>
      </c>
      <c r="B65" s="4" t="s">
        <f>=HYPERLINK("https://leilaoonline.com.br/lote/detalhe/144845", " CKS-ATI-065-2022 - TORRE DE ILUMINAÇÃO INGERSOLL-RAND, MOD. TILSCD56, ANO 2006. - LOC. CARAJÁS/PA")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=HYPERLINK("https://leilaoonline.com.br/lote/detalhe/144888", "1055")</f>
      </c>
      <c r="B66" s="4" t="s">
        <f>=HYPERLINK("https://leilaoonline.com.br/lote/detalhe/144888", " ITA-056-2022 - PALETEIRA HIDRAULICA MANUAL,  11SDJ/10307;ARTLIFT, LOC. ITABIRA/MG")</f>
      </c>
      <c r="C66" s="4" t="inlineStr">
        <is>
          <t>Não vendido</t>
        </is>
      </c>
      <c r="D66" s="4" t="inlineStr">
        <is>
          <t>11</t>
        </is>
      </c>
      <c r="E66" s="5" t="inlineStr">
        <is>
          <t>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=HYPERLINK("https://leilaoonline.com.br/lote/detalhe/144889", "1056")</f>
      </c>
      <c r="B67" s="4" t="s">
        <f>=HYPERLINK("https://leilaoonline.com.br/lote/detalhe/144889", " ITA-060-2022 - 05 ITENS, MAQUINAS DE SOLDA, GERADOR , VEJA DESCRITIVO DE ITENS, LOC. ITABIRA/MG ")</f>
      </c>
      <c r="C67" s="4" t="inlineStr">
        <is>
          <t>Vendido</t>
        </is>
      </c>
      <c r="D67" s="4" t="inlineStr">
        <is>
          <t>27</t>
        </is>
      </c>
      <c r="E67" s="5" t="inlineStr">
        <is>
          <t>11.500,00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=HYPERLINK("https://leilaoonline.com.br/lote/detalhe/144895", "1057")</f>
      </c>
      <c r="B68" s="4" t="s">
        <f>=HYPERLINK("https://leilaoonline.com.br/lote/detalhe/144895", " ITA-061-2022 - 27 ITENS, MAQUINA DE SOLDA / DANIFICADA, LOC. ITABIRA/MG ")</f>
      </c>
      <c r="C68" s="4" t="inlineStr">
        <is>
          <t>Não vendido</t>
        </is>
      </c>
      <c r="D68" s="4" t="inlineStr">
        <is>
          <t>36</t>
        </is>
      </c>
      <c r="E68" s="5" t="inlineStr">
        <is>
          <t>30.000,00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=HYPERLINK("https://leilaoonline.com.br/lote/detalhe/144891", "1058")</f>
      </c>
      <c r="B69" s="4" t="s">
        <f>=HYPERLINK("https://leilaoonline.com.br/lote/detalhe/144891", " ITA-062-2022- Guindaste IMAP, MOD.IM 20 9.5/22, ANO 2001, LOC. ITABIRA/MG")</f>
      </c>
      <c r="C69" s="4" t="inlineStr">
        <is>
          <t>Vendido</t>
        </is>
      </c>
      <c r="D69" s="4" t="inlineStr">
        <is>
          <t>84</t>
        </is>
      </c>
      <c r="E69" s="5" t="inlineStr">
        <is>
          <t>56.500,00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=HYPERLINK("https://leilaoonline.com.br/lote/detalhe/144897", "1059")</f>
      </c>
      <c r="B70" s="4" t="s">
        <f>=HYPERLINK("https://leilaoonline.com.br/lote/detalhe/144897", " ITA-063-2022- Guindaste ARGOS, MOD. AGI 20.5 - 13.8/32, ANO 2012, LOC. ITABIRA/MG")</f>
      </c>
      <c r="C70" s="4" t="inlineStr">
        <is>
          <t>Vendido</t>
        </is>
      </c>
      <c r="D70" s="4" t="inlineStr">
        <is>
          <t>114</t>
        </is>
      </c>
      <c r="E70" s="5" t="inlineStr">
        <is>
          <t>86.600,00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=HYPERLINK("https://leilaoonline.com.br/lote/detalhe/144906", "1060")</f>
      </c>
      <c r="B71" s="4" t="s">
        <f>=HYPERLINK("https://leilaoonline.com.br/lote/detalhe/144906", " ITA-064-2022- 04 ITENS, ANALISADOR, VISCOMETRO E OUTROS - VEJA DESCRITIVO DE ITENS - LOC. ITABIRA/MG")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=HYPERLINK("https://leilaoonline.com.br/lote/detalhe/144909", "1061")</f>
      </c>
      <c r="B72" s="4" t="s">
        <f>=HYPERLINK("https://leilaoonline.com.br/lote/detalhe/144909", " MRB-EQ-015-2022 - GRUPO GER. SOLDA ELETRICA MONTADO SOBRE BASE MOV. HEIMER MODELO 23/16 40KVA, LOC. MARABÁ-PA")</f>
      </c>
      <c r="C72" s="4" t="inlineStr">
        <is>
          <t>Vendido</t>
        </is>
      </c>
      <c r="D72" s="4" t="inlineStr">
        <is>
          <t>20</t>
        </is>
      </c>
      <c r="E72" s="5" t="inlineStr">
        <is>
          <t>14.500,00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=HYPERLINK("https://leilaoonline.com.br/lote/detalhe/144886", "1062")</f>
      </c>
      <c r="B73" s="4" t="s">
        <f>=HYPERLINK("https://leilaoonline.com.br/lote/detalhe/144886", " MRB-EQ-016-2022 - GUINDASTE MUNCK ARGOS AGI AYU.J.M.B22 ANO 2005, LOC. MARABÁ- PA ")</f>
      </c>
      <c r="C73" s="4" t="inlineStr">
        <is>
          <t>Não vendido</t>
        </is>
      </c>
      <c r="D73" s="4" t="inlineStr">
        <is>
          <t>63</t>
        </is>
      </c>
      <c r="E73" s="5" t="inlineStr">
        <is>
          <t>50.000,00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=HYPERLINK("https://leilaoonline.com.br/lote/detalhe/144884", "1063")</f>
      </c>
      <c r="B74" s="4" t="s">
        <f>=HYPERLINK("https://leilaoonline.com.br/lote/detalhe/144884", " MRB-EQ-017-2022-  GUINDASTE MUNCK ARGOS AGI12.5.9.722, ANO 2005, LOC. Marabá - PA")</f>
      </c>
      <c r="C74" s="4" t="inlineStr">
        <is>
          <t>Vendido</t>
        </is>
      </c>
      <c r="D74" s="4" t="inlineStr">
        <is>
          <t>68</t>
        </is>
      </c>
      <c r="E74" s="5" t="inlineStr">
        <is>
          <t>50.000,00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=HYPERLINK("https://leilaoonline.com.br/lote/detalhe/144903", "1064")</f>
      </c>
      <c r="B75" s="4" t="s">
        <f>=HYPERLINK("https://leilaoonline.com.br/lote/detalhe/144903", " OIA-004-2022 - TORRE DE ILUMINAÇÃO - TIF-15 - GAMMA COBRA, 2008 - LOC. Ourilândia/ PA")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=HYPERLINK("https://leilaoonline.com.br/lote/detalhe/144893", "1065")</f>
      </c>
      <c r="B76" s="4" t="s">
        <f>=HYPERLINK("https://leilaoonline.com.br/lote/detalhe/144893", " OIA-005-2022 - TORRE DE ILUMINAÇÃO - TILSCD56 - INGERSOLL-RAND, 2010 - LOC. Ourilândia/ PA")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2.250,00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=HYPERLINK("https://leilaoonline.com.br/lote/detalhe/144905", "1066")</f>
      </c>
      <c r="B77" s="4" t="s">
        <f>=HYPERLINK("https://leilaoonline.com.br/lote/detalhe/144905", " OIA-006-2022 - TORRE DE ILUMINAÇÃO - TI-7519 - GAMMA COBRA, 2011 - LOC. Ourilândia/ PA")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2.250,00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=HYPERLINK("https://leilaoonline.com.br/lote/detalhe/144899", "1067")</f>
      </c>
      <c r="B78" s="4" t="s">
        <f>=HYPERLINK("https://leilaoonline.com.br/lote/detalhe/144899", " OIA-036-2022 - Máquina de Solda EUTECTIC CASTOLIN, GST750, 2010 - LOC. Ourilândia/ PA")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=HYPERLINK("https://leilaoonline.com.br/lote/detalhe/144914", "1068")</f>
      </c>
      <c r="B79" s="4" t="s">
        <f>=HYPERLINK("https://leilaoonline.com.br/lote/detalhe/144914", " SFH-002-2022 - SISTEMA DE DESPOEIRAMENTO P/ BRITAGEM DE LIGAS ( MD. FILTRO DINAFLUX 32X12-40 / FAB. TERSEL / ÁREA FILTRANTE : 780 m² / VOLUME DE ARA FILTRANTE : 62.900 m³ / h / VENT.: VCT-47-1100L21-S-8  /  MOTOR: 125 CV, 4P, 60hz, 220/380/440 V / VOLUME DA MOEGA 34,29 m³ - LOC: SIMÕES FILHO/BA")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=HYPERLINK("https://leilaoonline.com.br/lote/detalhe/144904", "1069")</f>
      </c>
      <c r="B80" s="4" t="s">
        <f>=HYPERLINK("https://leilaoonline.com.br/lote/detalhe/144904", " SFH-034-2022 - Britador de mandíbula, 4535, MARCA: FAÇO - LOC: SIMÕES FILHO / BAHIA")</f>
      </c>
      <c r="C80" s="4" t="inlineStr">
        <is>
          <t>Vendido</t>
        </is>
      </c>
      <c r="D80" s="4" t="inlineStr">
        <is>
          <t>37</t>
        </is>
      </c>
      <c r="E80" s="5" t="inlineStr">
        <is>
          <t>48.000,00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=HYPERLINK("https://leilaoonline.com.br/lote/detalhe/144915", "1070")</f>
      </c>
      <c r="B81" s="4" t="s">
        <f>=HYPERLINK("https://leilaoonline.com.br/lote/detalhe/144915", " SFH-035-2022 - Britador de mandíbula 6240C, MARCA: FAÇO - LOC: SIMÕES FILHO / BAHIA")</f>
      </c>
      <c r="C81" s="4" t="inlineStr">
        <is>
          <t>Não vendido</t>
        </is>
      </c>
      <c r="D81" s="4" t="inlineStr">
        <is>
          <t>92</t>
        </is>
      </c>
      <c r="E81" s="5" t="inlineStr">
        <is>
          <t>150.000,00</t>
        </is>
      </c>
      <c r="F81" s="4" t="inlineStr">
        <is>
          <t>2000.00</t>
        </is>
      </c>
    </row>
    <row collapsed="false" customFormat="false" customHeight="false" hidden="false" ht="12.1" outlineLevel="0" r="82">
      <c r="A82" s="5" t="s">
        <f>=HYPERLINK("https://leilaoonline.com.br/lote/detalhe/144913", "1071")</f>
      </c>
      <c r="B82" s="4" t="s">
        <f>=HYPERLINK("https://leilaoonline.com.br/lote/detalhe/144913", " SLB-038-2022 - 2 BOMBA DRENAGEM GODWIN HL 225M - LOC: MARABÁ/ PARÁ")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100.000,00</t>
        </is>
      </c>
      <c r="F82" s="4" t="inlineStr">
        <is>
          <t>2500.00</t>
        </is>
      </c>
    </row>
    <row collapsed="false" customFormat="false" customHeight="false" hidden="false" ht="12.1" outlineLevel="0" r="83">
      <c r="A83" s="5" t="s">
        <f>=HYPERLINK("https://leilaoonline.com.br/lote/detalhe/144867", "1072")</f>
      </c>
      <c r="B83" s="4" t="s">
        <f>=HYPERLINK("https://leilaoonline.com.br/lote/detalhe/144867", " SLS-EQ-031-2022 - Guindaste ROBEL SM 0009, 2005 - LOC: São Luís - MA")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100.000,00</t>
        </is>
      </c>
      <c r="F83" s="4" t="inlineStr">
        <is>
          <t>5000.00</t>
        </is>
      </c>
    </row>
    <row collapsed="false" customFormat="false" customHeight="false" hidden="false" ht="12.1" outlineLevel="0" r="84">
      <c r="A84" s="5" t="s">
        <f>=HYPERLINK("https://leilaoonline.com.br/lote/detalhe/144868", "1073")</f>
      </c>
      <c r="B84" s="4" t="s">
        <f>=HYPERLINK("https://leilaoonline.com.br/lote/detalhe/144868", " SLS-EQZIPI-003-2022 - Container - LOC: São Luís - MA")</f>
      </c>
      <c r="C84" s="4" t="inlineStr">
        <is>
          <t>Não vendido</t>
        </is>
      </c>
      <c r="D84" s="4" t="inlineStr">
        <is>
          <t>4</t>
        </is>
      </c>
      <c r="E84" s="5" t="inlineStr">
        <is>
          <t>12.000,00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=HYPERLINK("https://leilaoonline.com.br/lote/detalhe/144877", "1074")</f>
      </c>
      <c r="B85" s="4" t="s">
        <f>=HYPERLINK("https://leilaoonline.com.br/lote/detalhe/144877", " SSG-046-2022 - Prensa KUBITZ - LOC: CANAA DOS CARAJAS/ PA")</f>
      </c>
      <c r="C85" s="4" t="inlineStr">
        <is>
          <t>Vendido</t>
        </is>
      </c>
      <c r="D85" s="4" t="inlineStr">
        <is>
          <t>34</t>
        </is>
      </c>
      <c r="E85" s="5" t="inlineStr">
        <is>
          <t>58.000,00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=HYPERLINK("https://leilaoonline.com.br/lote/detalhe/145154", "1100")</f>
      </c>
      <c r="B86" s="4" t="s">
        <f>=HYPERLINK("https://leilaoonline.com.br/lote/detalhe/145154", " 082-174-2022-  APROX. 407 ITENS. - PLACA COMPONENTE, TUBO COMPONENTE E OUTROS-VEJA DESCRITIVO DE ITENS. -LOC. VITÓRIA/ES")</f>
      </c>
      <c r="C86" s="4" t="inlineStr">
        <is>
          <t>Vendido</t>
        </is>
      </c>
      <c r="D86" s="4" t="inlineStr">
        <is>
          <t>4</t>
        </is>
      </c>
      <c r="E86" s="5" t="inlineStr">
        <is>
          <t>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=HYPERLINK("https://leilaoonline.com.br/lote/detalhe/145150", "1101")</f>
      </c>
      <c r="B87" s="4" t="s">
        <f>=HYPERLINK("https://leilaoonline.com.br/lote/detalhe/145150", " 082-185-2022 - APROX. 252 ITENS. - BLOCO COMPONENTE, MANCAL, ALOJAMENTO E OUTROS-VEJA DESCRITIVO DE ITENS.-LOC.VITÓRIA/ES")</f>
      </c>
      <c r="C87" s="4" t="inlineStr">
        <is>
          <t>Vendido</t>
        </is>
      </c>
      <c r="D87" s="4" t="inlineStr">
        <is>
          <t>25</t>
        </is>
      </c>
      <c r="E87" s="5" t="inlineStr">
        <is>
          <t>3.950,00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=HYPERLINK("https://leilaoonline.com.br/lote/detalhe/145151", "1102")</f>
      </c>
      <c r="B88" s="4" t="s">
        <f>=HYPERLINK("https://leilaoonline.com.br/lote/detalhe/145151", " 082-186-2022- APROX. 2650 - CABEÇOTE, GARRA, POTENCIOMETRO E OUTROS-VEJA DESCRITIVO DE ITENS.-LOC. VITÓRIA/ES")</f>
      </c>
      <c r="C88" s="4" t="inlineStr">
        <is>
          <t>Vendido</t>
        </is>
      </c>
      <c r="D88" s="4" t="inlineStr">
        <is>
          <t>6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=HYPERLINK("https://leilaoonline.com.br/lote/detalhe/145156", "1103")</f>
      </c>
      <c r="B89" s="4" t="s">
        <f>=HYPERLINK("https://leilaoonline.com.br/lote/detalhe/145156", " 082-187-2022- ARPOX. 282 ITENS. -TUBO CONDUÇÃO, RELÊ COMPONENTE, CILINDRO E OUTROS-VEJA DESCRITIVO DE ITENS.-LOC. VITÓRIA/ES")</f>
      </c>
      <c r="C89" s="4" t="inlineStr">
        <is>
          <t>Vendido</t>
        </is>
      </c>
      <c r="D89" s="4" t="inlineStr">
        <is>
          <t>2</t>
        </is>
      </c>
      <c r="E89" s="5" t="inlineStr">
        <is>
          <t>1.100,00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=HYPERLINK("https://leilaoonline.com.br/lote/detalhe/145161", "1104")</f>
      </c>
      <c r="B90" s="4" t="s">
        <f>=HYPERLINK("https://leilaoonline.com.br/lote/detalhe/145161", " 082-192-2022- APROX. 1676 ITENS. - SEMI EIXO, MANGUEIRA MONTADA,CHAPA COMPONENTE E OUTROS-VEJA DESCRITIVO DE ITENS.-LOC VITÓRIA/ES")</f>
      </c>
      <c r="C90" s="4" t="inlineStr">
        <is>
          <t>Vendido</t>
        </is>
      </c>
      <c r="D90" s="4" t="inlineStr">
        <is>
          <t>17</t>
        </is>
      </c>
      <c r="E90" s="5" t="inlineStr">
        <is>
          <t>4.200,00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=HYPERLINK("https://leilaoonline.com.br/lote/detalhe/145163", "1105")</f>
      </c>
      <c r="B91" s="4" t="s">
        <f>=HYPERLINK("https://leilaoonline.com.br/lote/detalhe/145163", " 082-194-2022- ARPOX. 860 ITENS. - CILINDRO COMPONENTE,FRAME COMPONENTE E OUTROS-VEJA DESCRITIVO DE ITENS.-LOC. VITÓRIA/ES")</f>
      </c>
      <c r="C91" s="4" t="inlineStr">
        <is>
          <t>Vendido</t>
        </is>
      </c>
      <c r="D91" s="4" t="inlineStr">
        <is>
          <t>21</t>
        </is>
      </c>
      <c r="E91" s="5" t="inlineStr">
        <is>
          <t>3.550,00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=HYPERLINK("https://leilaoonline.com.br/lote/detalhe/145153", "1106")</f>
      </c>
      <c r="B92" s="4" t="s">
        <f>=HYPERLINK("https://leilaoonline.com.br/lote/detalhe/145153", " 082-206-2022- APROX. 21.4727 MASCÁRAS RESPIRADORAS.-LOC. VITÓRIA/ES")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600,00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=HYPERLINK("https://leilaoonline.com.br/lote/detalhe/145157", "1107")</f>
      </c>
      <c r="B93" s="4" t="s">
        <f>=HYPERLINK("https://leilaoonline.com.br/lote/detalhe/145157", " 082-222-2022- APROX. 4746 ITENS. - PORTA ESCOVA,BOMBA,RETROVISOR COMPONENTE E OUTROS-VEJA DESCRITIVO DE ITENS.-LOC VITÓRIA/ES")</f>
      </c>
      <c r="C93" s="4" t="inlineStr">
        <is>
          <t>Não vendido</t>
        </is>
      </c>
      <c r="D93" s="4" t="inlineStr">
        <is>
          <t>27</t>
        </is>
      </c>
      <c r="E93" s="5" t="inlineStr">
        <is>
          <t>21.000,00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=HYPERLINK("https://leilaoonline.com.br/lote/detalhe/145159", "1108")</f>
      </c>
      <c r="B94" s="4" t="s">
        <f>=HYPERLINK("https://leilaoonline.com.br/lote/detalhe/145159", " 082-225-2022- APROX. 287 ITENS. - SUPORTE COMPONENTE,UNIÃO COTOVELO E OUTROS-VEJA DESCRITIVO DE ITENS.-LOC VITÓRIA/ES")</f>
      </c>
      <c r="C94" s="4" t="inlineStr">
        <is>
          <t>Vendido</t>
        </is>
      </c>
      <c r="D94" s="4" t="inlineStr">
        <is>
          <t>28</t>
        </is>
      </c>
      <c r="E94" s="5" t="inlineStr">
        <is>
          <t>7.000,00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=HYPERLINK("https://leilaoonline.com.br/lote/detalhe/145165", "1109")</f>
      </c>
      <c r="B95" s="4" t="s">
        <f>=HYPERLINK("https://leilaoonline.com.br/lote/detalhe/145165", " 082-229-2022- APROX. 3639 ITENS. - ARRUELA, ARMADURA, MANCAL E OUTROS-VEJA DESCRITIVO DE ITENS.-LOC VITÓRIA/ES")</f>
      </c>
      <c r="C95" s="4" t="inlineStr">
        <is>
          <t>Vendido</t>
        </is>
      </c>
      <c r="D95" s="4" t="inlineStr">
        <is>
          <t>84</t>
        </is>
      </c>
      <c r="E95" s="5" t="inlineStr">
        <is>
          <t>19.450,00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=HYPERLINK("https://leilaoonline.com.br/lote/detalhe/145155", "1110")</f>
      </c>
      <c r="B96" s="4" t="s">
        <f>=HYPERLINK("https://leilaoonline.com.br/lote/detalhe/145155", " 082-257-2022- APROX. 141159 ITENS. -INTERRUPTOR, SOQUETE, ABRAÇADEIRA E OUTROS-VEJA DESCRITIVO DE ITENS.-LOC.VITÓRIA/ES")</f>
      </c>
      <c r="C96" s="4" t="inlineStr">
        <is>
          <t>Não vendido</t>
        </is>
      </c>
      <c r="D96" s="4" t="inlineStr">
        <is>
          <t>89</t>
        </is>
      </c>
      <c r="E96" s="5" t="inlineStr">
        <is>
          <t>155.000,00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=HYPERLINK("https://leilaoonline.com.br/lote/detalhe/145166", "1111")</f>
      </c>
      <c r="B97" s="4" t="s">
        <f>=HYPERLINK("https://leilaoonline.com.br/lote/detalhe/145166", " 082-258-2022- APROX. 78457 ITENS. - TOMADA BLINDADA, REATOR LÂMPADA, TUBO FLEXIVEL E OUTROS-VEJA DESCRITIVO DE ITENS.-LOC. VITÓRIA/ES")</f>
      </c>
      <c r="C97" s="4" t="inlineStr">
        <is>
          <t>Vendido</t>
        </is>
      </c>
      <c r="D97" s="4" t="inlineStr">
        <is>
          <t>40</t>
        </is>
      </c>
      <c r="E97" s="5" t="inlineStr">
        <is>
          <t>25.626,00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=HYPERLINK("https://leilaoonline.com.br/lote/detalhe/145152", "1112")</f>
      </c>
      <c r="B98" s="4" t="s">
        <f>=HYPERLINK("https://leilaoonline.com.br/lote/detalhe/145152", " 082-280-2022- APROX. 776 ITENS - DISCO DESBASTE, MOLA, BASE, MANCAL E OUTROS-VEJA DESCRITIVO DE ITENS.-LOC VITÓRIA/ES")</f>
      </c>
      <c r="C98" s="4" t="inlineStr">
        <is>
          <t>Vendido</t>
        </is>
      </c>
      <c r="D98" s="4" t="inlineStr">
        <is>
          <t>14</t>
        </is>
      </c>
      <c r="E98" s="5" t="inlineStr">
        <is>
          <t>2.100,00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=HYPERLINK("https://leilaoonline.com.br/lote/detalhe/145164", "1113")</f>
      </c>
      <c r="B99" s="4" t="s">
        <f>=HYPERLINK("https://leilaoonline.com.br/lote/detalhe/145164", " 082-306-2022- APROX. 3562 ITENS. - DISJUNTOR, FUSÍVEL, RETENTOR E OUTROS-VEJA DESCRITIVO DE ITENS.-LOC VITÓRIA/ES")</f>
      </c>
      <c r="C99" s="4" t="inlineStr">
        <is>
          <t>Não vendido</t>
        </is>
      </c>
      <c r="D99" s="4" t="inlineStr">
        <is>
          <t>6</t>
        </is>
      </c>
      <c r="E99" s="5" t="inlineStr">
        <is>
          <t>1.000,00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=HYPERLINK("https://leilaoonline.com.br/lote/detalhe/145162", "1114")</f>
      </c>
      <c r="B100" s="4" t="s">
        <f>=HYPERLINK("https://leilaoonline.com.br/lote/detalhe/145162", " 082-323-2022- APROX. 471 ITENS. - BANJO COMPONENTES, PARAFUSOS, FILTRO DE AR E OUTROS-VEJA DESCRITIVO DE ITENS.-LOC VITÓRIA/ES")</f>
      </c>
      <c r="C100" s="4" t="inlineStr">
        <is>
          <t>Não vendido</t>
        </is>
      </c>
      <c r="D100" s="4" t="inlineStr">
        <is>
          <t>5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=HYPERLINK("https://leilaoonline.com.br/lote/detalhe/145172", "1115")</f>
      </c>
      <c r="B101" s="4" t="s">
        <f>=HYPERLINK("https://leilaoonline.com.br/lote/detalhe/145172", " 082-325-2022- APROX. 221 ITENS. - ALOJAMENTO FILTRO, TELA COMPONENTE, MANCAL E OUTROS-VEJA DESCRITIVO DE ITENS.-LOC. VITÓRIA/ES")</f>
      </c>
      <c r="C101" s="4" t="inlineStr">
        <is>
          <t>Não vendido</t>
        </is>
      </c>
      <c r="D101" s="4" t="inlineStr">
        <is>
          <t>9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=HYPERLINK("https://leilaoonline.com.br/lote/detalhe/145187", "1116")</f>
      </c>
      <c r="B102" s="4" t="s">
        <f>=HYPERLINK("https://leilaoonline.com.br/lote/detalhe/145187", " 082-364-2022- APROX. 3769 ITENS. -  TERMINAL,VÁLVULA, COMPARTILHAMENTO E OUTROS-VEJA DESCRITIVO DE ITENS.-LOC. VITÓRIA/ES")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600,00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=HYPERLINK("https://leilaoonline.com.br/lote/detalhe/145158", "1117")</f>
      </c>
      <c r="B103" s="4" t="s">
        <f>=HYPERLINK("https://leilaoonline.com.br/lote/detalhe/145158", " 082-375-2022- APROX. 51 ITENS - SENSOR OPTICO, LUVA E OUTROS-VEJA DESCRITIVO DE ITENS.-LOC. VITÓRIA/ES")</f>
      </c>
      <c r="C103" s="4" t="inlineStr">
        <is>
          <t>Vendido</t>
        </is>
      </c>
      <c r="D103" s="4" t="inlineStr">
        <is>
          <t>4</t>
        </is>
      </c>
      <c r="E103" s="5" t="inlineStr">
        <is>
          <t>800,00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=HYPERLINK("https://leilaoonline.com.br/lote/detalhe/145160", "1118")</f>
      </c>
      <c r="B104" s="4" t="s">
        <f>=HYPERLINK("https://leilaoonline.com.br/lote/detalhe/145160", " 082-377-2022- APROX. 80 ITENS. - ROLO TRANSP E OUTROS-VEJA DESCRITIVO DE ITENS.-LOC. VITÓRIA/ES")</f>
      </c>
      <c r="C104" s="4" t="inlineStr">
        <is>
          <t>Vendido</t>
        </is>
      </c>
      <c r="D104" s="4" t="inlineStr">
        <is>
          <t>14</t>
        </is>
      </c>
      <c r="E104" s="5" t="inlineStr">
        <is>
          <t>3.500,00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=HYPERLINK("https://leilaoonline.com.br/lote/detalhe/145181", "1119")</f>
      </c>
      <c r="B105" s="4" t="s">
        <f>=HYPERLINK("https://leilaoonline.com.br/lote/detalhe/145181", " 082-378-2022- APROX. 72 ITENS - ROLO TRANSP, ROLO TRANSP CARGA E OUTROS-VEJA DESCRITIVO DE ITENS.-LOC. VITÓRIA/ES")</f>
      </c>
      <c r="C105" s="4" t="inlineStr">
        <is>
          <t>Vendido</t>
        </is>
      </c>
      <c r="D105" s="4" t="inlineStr">
        <is>
          <t>21</t>
        </is>
      </c>
      <c r="E105" s="5" t="inlineStr">
        <is>
          <t>4.000,00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=HYPERLINK("https://leilaoonline.com.br/lote/detalhe/145178", "1120")</f>
      </c>
      <c r="B106" s="4" t="s">
        <f>=HYPERLINK("https://leilaoonline.com.br/lote/detalhe/145178", " 082-379-2022- APROX 170 ITENS. - ROLO TRANSP CARGA E OUTROS-VEJA DESCRITIVO DE ITENS.-LOC. VITÓRIA/ES")</f>
      </c>
      <c r="C106" s="4" t="inlineStr">
        <is>
          <t>Vendido</t>
        </is>
      </c>
      <c r="D106" s="4" t="inlineStr">
        <is>
          <t>35</t>
        </is>
      </c>
      <c r="E106" s="5" t="inlineStr">
        <is>
          <t>7.650,00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=HYPERLINK("https://leilaoonline.com.br/lote/detalhe/145174", "1121")</f>
      </c>
      <c r="B107" s="4" t="s">
        <f>=HYPERLINK("https://leilaoonline.com.br/lote/detalhe/145174", " 082-380-2022- APROX. 55 ITENS. - ROLO TRANSP CARGA E OUTROS-VEJA DESCRITIVO DE ITENS.-LOC. VITÓRIA/ES")</f>
      </c>
      <c r="C107" s="4" t="inlineStr">
        <is>
          <t>Não vendido</t>
        </is>
      </c>
      <c r="D107" s="4" t="inlineStr">
        <is>
          <t>12</t>
        </is>
      </c>
      <c r="E107" s="5" t="inlineStr">
        <is>
          <t>1.600,00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=HYPERLINK("https://leilaoonline.com.br/lote/detalhe/145177", "1122")</f>
      </c>
      <c r="B108" s="4" t="s">
        <f>=HYPERLINK("https://leilaoonline.com.br/lote/detalhe/145177", " 082-381-2022- APROX. 70 ITENS. - ROLO TRANSP E OUTROS-VEJA DESCRITIVO DE ITENS.-LOC. VITÓRIA/ES")</f>
      </c>
      <c r="C108" s="4" t="inlineStr">
        <is>
          <t>Vendido</t>
        </is>
      </c>
      <c r="D108" s="4" t="inlineStr">
        <is>
          <t>15</t>
        </is>
      </c>
      <c r="E108" s="5" t="inlineStr">
        <is>
          <t>2.500,00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=HYPERLINK("https://leilaoonline.com.br/lote/detalhe/145191", "1123")</f>
      </c>
      <c r="B109" s="4" t="s">
        <f>=HYPERLINK("https://leilaoonline.com.br/lote/detalhe/145191", " 082-382-2022- APROX. 166 ITENS. - ROLO TRANSP E OUTROS-VEJA DESCRITIVO DE ITENS.-LOC. VITÓRIA/ES")</f>
      </c>
      <c r="C109" s="4" t="inlineStr">
        <is>
          <t>Vendido</t>
        </is>
      </c>
      <c r="D109" s="4" t="inlineStr">
        <is>
          <t>26</t>
        </is>
      </c>
      <c r="E109" s="5" t="inlineStr">
        <is>
          <t>4.600,00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=HYPERLINK("https://leilaoonline.com.br/lote/detalhe/145168", "1124")</f>
      </c>
      <c r="B110" s="4" t="s">
        <f>=HYPERLINK("https://leilaoonline.com.br/lote/detalhe/145168", " 082-383-2022- APROX. 141 ITENS. - ROLO TRANSP RETORNO E OUTROS-VEJA DESCRITIVO DE ITENS.-LOC. VITÓRIA/ES")</f>
      </c>
      <c r="C110" s="4" t="inlineStr">
        <is>
          <t>Vendido</t>
        </is>
      </c>
      <c r="D110" s="4" t="inlineStr">
        <is>
          <t>20</t>
        </is>
      </c>
      <c r="E110" s="5" t="inlineStr">
        <is>
          <t>3.500,00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=HYPERLINK("https://leilaoonline.com.br/lote/detalhe/145167", "1125")</f>
      </c>
      <c r="B111" s="4" t="s">
        <f>=HYPERLINK("https://leilaoonline.com.br/lote/detalhe/145167", " 082-384-2022- APROX. 96 ITENS. - ROLO TRANSP E OUTROS-VEJA DESCRITIVO DE ITENS.-LOC.VITÓRIA/ES")</f>
      </c>
      <c r="C111" s="4" t="inlineStr">
        <is>
          <t>Não vendido</t>
        </is>
      </c>
      <c r="D111" s="4" t="inlineStr">
        <is>
          <t>31</t>
        </is>
      </c>
      <c r="E111" s="5" t="inlineStr">
        <is>
          <t>5.900,00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=HYPERLINK("https://leilaoonline.com.br/lote/detalhe/145207", "1126")</f>
      </c>
      <c r="B112" s="4" t="s">
        <f>=HYPERLINK("https://leilaoonline.com.br/lote/detalhe/145207", " 082-386-2022- APROX. 77 ITENS. - ROLO TRANSP 6,3MM, ROLO TRANSP RETOR E OUTROS-VEJA DESCRITIVO DE ITENS.-LOC VITÓRIA/ES")</f>
      </c>
      <c r="C112" s="4" t="inlineStr">
        <is>
          <t>Não vendido</t>
        </is>
      </c>
      <c r="D112" s="4" t="inlineStr">
        <is>
          <t>16</t>
        </is>
      </c>
      <c r="E112" s="5" t="inlineStr">
        <is>
          <t>3.000,00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=HYPERLINK("https://leilaoonline.com.br/lote/detalhe/145169", "1127")</f>
      </c>
      <c r="B113" s="4" t="s">
        <f>=HYPERLINK("https://leilaoonline.com.br/lote/detalhe/145169", " 082-388-2022- APROX. 56 ITENS - ROLO TRANSP 4,75MM E OUTROS-VEJA DESCRITIVO DE ITENS.-LOC VITORIA/ES")</f>
      </c>
      <c r="C113" s="4" t="inlineStr">
        <is>
          <t>Não vendido</t>
        </is>
      </c>
      <c r="D113" s="4" t="inlineStr">
        <is>
          <t>10</t>
        </is>
      </c>
      <c r="E113" s="5" t="inlineStr">
        <is>
          <t>1.800,00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=HYPERLINK("https://leilaoonline.com.br/lote/detalhe/145175", "1128")</f>
      </c>
      <c r="B114" s="4" t="s">
        <f>=HYPERLINK("https://leilaoonline.com.br/lote/detalhe/145175", " 082-396-2022- APROX. 277 ITENS. - SUPORTE COMPONENTE,TANQUE,MANCAL E OUTROS-VEJA DESCRITIVO DE ITENS.-LOC. VITÓRIA/ES")</f>
      </c>
      <c r="C114" s="4" t="inlineStr">
        <is>
          <t>Não vendido</t>
        </is>
      </c>
      <c r="D114" s="4" t="inlineStr">
        <is>
          <t>48</t>
        </is>
      </c>
      <c r="E114" s="5" t="inlineStr">
        <is>
          <t>15.900,00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=HYPERLINK("https://leilaoonline.com.br/lote/detalhe/145170", "1129")</f>
      </c>
      <c r="B115" s="4" t="s">
        <f>=HYPERLINK("https://leilaoonline.com.br/lote/detalhe/145170", " 082-398-2022- APROX. 1848 ITENS. - MANGUEIRA,CALÇO AMORTECEDOR RODA FERVRIA E OUTROS-VEJA DESCRITIVO DE ITENS.-LOC. VITÓRIA/ES")</f>
      </c>
      <c r="C115" s="4" t="inlineStr">
        <is>
          <t>Vendido</t>
        </is>
      </c>
      <c r="D115" s="4" t="inlineStr">
        <is>
          <t>46</t>
        </is>
      </c>
      <c r="E115" s="5" t="inlineStr">
        <is>
          <t>11.200,00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=HYPERLINK("https://leilaoonline.com.br/lote/detalhe/145197", "1130")</f>
      </c>
      <c r="B116" s="4" t="s">
        <f>=HYPERLINK("https://leilaoonline.com.br/lote/detalhe/145197", " 082-400-2022- APROX. 36 ITENS. - VALVULA LOCOMOTIVA. LOC. VITÓRIA/ES")</f>
      </c>
      <c r="C116" s="4" t="inlineStr">
        <is>
          <t>Não vendido</t>
        </is>
      </c>
      <c r="D116" s="4" t="inlineStr">
        <is>
          <t>2</t>
        </is>
      </c>
      <c r="E116" s="5" t="inlineStr">
        <is>
          <t>600,00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=HYPERLINK("https://leilaoonline.com.br/lote/detalhe/145190", "1131")</f>
      </c>
      <c r="B117" s="4" t="s">
        <f>=HYPERLINK("https://leilaoonline.com.br/lote/detalhe/145190", " 082-401-2022-KIT RADIADOR KST. LOC.VITÓRIA/ES")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=HYPERLINK("https://leilaoonline.com.br/lote/detalhe/145200", "1132")</f>
      </c>
      <c r="B118" s="4" t="s">
        <f>=HYPERLINK("https://leilaoonline.com.br/lote/detalhe/145200", " 082-406-2022- APROX. 1392 ITENS. - PARAFUSO CABEÇA SEXTAVADA, ROLO PINTURA. E OUTROS VEJA DESCRITIVO DE ITENS.-LOC VITÓRIA/ES")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700,00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=HYPERLINK("https://leilaoonline.com.br/lote/detalhe/145179", "1133")</f>
      </c>
      <c r="B119" s="4" t="s">
        <f>=HYPERLINK("https://leilaoonline.com.br/lote/detalhe/145179", " 082-407-2022- APROX. 37 ITENS. - LANTERNA, BUZINA, TERMOSTATO E OUTROS-VEJA DESCRITIVO DE ITENS.-LOC. VITÓRIA/ES")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=HYPERLINK("https://leilaoonline.com.br/lote/detalhe/145202", "1134")</f>
      </c>
      <c r="B120" s="4" t="s">
        <f>=HYPERLINK("https://leilaoonline.com.br/lote/detalhe/145202", " 082-408-2022- APROX. 411 ITENS. - ROLAMENTO, FLUXOMETRO, BUCHA ROLAMENTO E OUTROS-VEJA DESCRITIVO DE ITENS.-LOC VITÓRIA/ES")</f>
      </c>
      <c r="C120" s="4" t="inlineStr">
        <is>
          <t>Vendido</t>
        </is>
      </c>
      <c r="D120" s="4" t="inlineStr">
        <is>
          <t>63</t>
        </is>
      </c>
      <c r="E120" s="5" t="inlineStr">
        <is>
          <t>15.300,00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=HYPERLINK("https://leilaoonline.com.br/lote/detalhe/145189", "1135")</f>
      </c>
      <c r="B121" s="4" t="s">
        <f>=HYPERLINK("https://leilaoonline.com.br/lote/detalhe/145189", " 082-424-2022-CILINDRO, EIXO -VEJA DESCRITIVO DE ITENS.-LOC. VITÓRIA/ES")</f>
      </c>
      <c r="C121" s="4" t="inlineStr">
        <is>
          <t>Vendido</t>
        </is>
      </c>
      <c r="D121" s="4" t="inlineStr">
        <is>
          <t>62</t>
        </is>
      </c>
      <c r="E121" s="5" t="inlineStr">
        <is>
          <t>22.500,00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=HYPERLINK("https://leilaoonline.com.br/lote/detalhe/145176", "1136")</f>
      </c>
      <c r="B122" s="4" t="s">
        <f>=HYPERLINK("https://leilaoonline.com.br/lote/detalhe/145176", " 082-425-2022- APROX. 20 ITENS. - INVERSOR, ROLDANA,REDUTOR E OUTROS-VEJA DESCRITIVO DE ITENS.-LOC. VITÓRIA/ES")</f>
      </c>
      <c r="C122" s="4" t="inlineStr">
        <is>
          <t>Vendido</t>
        </is>
      </c>
      <c r="D122" s="4" t="inlineStr">
        <is>
          <t>262</t>
        </is>
      </c>
      <c r="E122" s="5" t="inlineStr">
        <is>
          <t>285.000,00</t>
        </is>
      </c>
      <c r="F122" s="4" t="inlineStr">
        <is>
          <t>5000.00</t>
        </is>
      </c>
    </row>
    <row collapsed="false" customFormat="false" customHeight="false" hidden="false" ht="12.1" outlineLevel="0" r="123">
      <c r="A123" s="5" t="s">
        <f>=HYPERLINK("https://leilaoonline.com.br/lote/detalhe/145194", "1137")</f>
      </c>
      <c r="B123" s="4" t="s">
        <f>=HYPERLINK("https://leilaoonline.com.br/lote/detalhe/145194", " 082-426-2022-4 CILINDROS 10098484. LOC.VITÓRIA/ES")</f>
      </c>
      <c r="C123" s="4" t="inlineStr">
        <is>
          <t>Não vendido</t>
        </is>
      </c>
      <c r="D123" s="4" t="inlineStr">
        <is>
          <t>65</t>
        </is>
      </c>
      <c r="E123" s="5" t="inlineStr">
        <is>
          <t>30.550,00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=HYPERLINK("https://leilaoonline.com.br/lote/detalhe/145180", "1138")</f>
      </c>
      <c r="B124" s="4" t="s">
        <f>=HYPERLINK("https://leilaoonline.com.br/lote/detalhe/145180", " 082-427-2022- APROX. 88 ITENS. - TENSIONAMENTO, BOMBA HIDRAULICA, MOTOR E OUTROS-VEJA DESCRITIVO DE ITENS.-LOC.VITÓRIA/ES")</f>
      </c>
      <c r="C124" s="4" t="inlineStr">
        <is>
          <t>Vendido</t>
        </is>
      </c>
      <c r="D124" s="4" t="inlineStr">
        <is>
          <t>39</t>
        </is>
      </c>
      <c r="E124" s="5" t="inlineStr">
        <is>
          <t>15.000,00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=HYPERLINK("https://leilaoonline.com.br/lote/detalhe/145171", "1139")</f>
      </c>
      <c r="B125" s="4" t="s">
        <f>=HYPERLINK("https://leilaoonline.com.br/lote/detalhe/145171", " 082-428-2022- APROX. 109 ITENS. - ACOPLAMENTO, BOMBA VÁLVULA E OUTROS-VEJA DESCRITIVO DE VENDAS.-LOC.VITÓRIA/ES")</f>
      </c>
      <c r="C125" s="4" t="inlineStr">
        <is>
          <t>Não vendido</t>
        </is>
      </c>
      <c r="D125" s="4" t="inlineStr">
        <is>
          <t>48</t>
        </is>
      </c>
      <c r="E125" s="5" t="inlineStr">
        <is>
          <t>46.000,00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=HYPERLINK("https://leilaoonline.com.br/lote/detalhe/145203", "1140")</f>
      </c>
      <c r="B126" s="4" t="s">
        <f>=HYPERLINK("https://leilaoonline.com.br/lote/detalhe/145203", " 082-429-2022- 5 CONJUNTOS FIX- LOC. VITÓRIA/ES")</f>
      </c>
      <c r="C126" s="4" t="inlineStr">
        <is>
          <t>Vendido</t>
        </is>
      </c>
      <c r="D126" s="4" t="inlineStr">
        <is>
          <t>14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=HYPERLINK("https://leilaoonline.com.br/lote/detalhe/145182", "1141")</f>
      </c>
      <c r="B127" s="4" t="s">
        <f>=HYPERLINK("https://leilaoonline.com.br/lote/detalhe/145182", " 082-432-2022- APROX. 52 ITENS. -  MOLA COMPONENTE, ABAFADOR DE RUIDOS E OUTROS-VEJA DESCRITIVO DE ITENS.-LOC. VITÓRIA/ES")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=HYPERLINK("https://leilaoonline.com.br/lote/detalhe/145184", "1142")</f>
      </c>
      <c r="B128" s="4" t="s">
        <f>=HYPERLINK("https://leilaoonline.com.br/lote/detalhe/145184", " 082-433-2022- APROX. 220 ITENS. - LÂMPADA VAPOR, ROTOR, MÓDULO E OUTROS-VEJA DESCRITIVO DE ITENS.-LOC.VITÓRIA/ES")</f>
      </c>
      <c r="C128" s="4" t="inlineStr">
        <is>
          <t>Não vendido</t>
        </is>
      </c>
      <c r="D128" s="4" t="inlineStr">
        <is>
          <t>13</t>
        </is>
      </c>
      <c r="E128" s="5" t="inlineStr">
        <is>
          <t>2.200,00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=HYPERLINK("https://leilaoonline.com.br/lote/detalhe/145183", "1143")</f>
      </c>
      <c r="B129" s="4" t="s">
        <f>=HYPERLINK("https://leilaoonline.com.br/lote/detalhe/145183", " 082-438-2022- APROX. 11 ITENS. - MÓDULO,FUSÍVEL, DISJUNTOR E OUTROS-VEJA DESCRITIVO DE ITENS.-LOC. VITÓRIA/ES")</f>
      </c>
      <c r="C129" s="4" t="inlineStr">
        <is>
          <t>Não vendido</t>
        </is>
      </c>
      <c r="D129" s="4" t="inlineStr">
        <is>
          <t>20</t>
        </is>
      </c>
      <c r="E129" s="5" t="inlineStr">
        <is>
          <t>3.600,00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=HYPERLINK("https://leilaoonline.com.br/lote/detalhe/145196", "1144")</f>
      </c>
      <c r="B130" s="4" t="s">
        <f>=HYPERLINK("https://leilaoonline.com.br/lote/detalhe/145196", " 082-439-2022- APROX. 3104 ITENS. - TERMINAL, LUVA EMENDA, PRESSOSTATO E OUTROS-VEJA DESCRITIVO DE ITENS.-LOC. VITÓRIA/ES")</f>
      </c>
      <c r="C130" s="4" t="inlineStr">
        <is>
          <t>Não vendido</t>
        </is>
      </c>
      <c r="D130" s="4" t="inlineStr">
        <is>
          <t>18</t>
        </is>
      </c>
      <c r="E130" s="5" t="inlineStr">
        <is>
          <t>28.000,00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=HYPERLINK("https://leilaoonline.com.br/lote/detalhe/145173", "1145")</f>
      </c>
      <c r="B131" s="4" t="s">
        <f>=HYPERLINK("https://leilaoonline.com.br/lote/detalhe/145173", " 082-440-2022- APROX. 134 ITENS. - ROLO TRANSP BALANCA, ROLO TRANP IMPAC E OUTROS-VEJA DESCRITIVO DE ITENS.-LOC. VITÓRIA/ES")</f>
      </c>
      <c r="C131" s="4" t="inlineStr">
        <is>
          <t>Vendido</t>
        </is>
      </c>
      <c r="D131" s="4" t="inlineStr">
        <is>
          <t>24</t>
        </is>
      </c>
      <c r="E131" s="5" t="inlineStr">
        <is>
          <t>4.000,00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=HYPERLINK("https://leilaoonline.com.br/lote/detalhe/145185", "1200")</f>
      </c>
      <c r="B132" s="4" t="s">
        <f>=HYPERLINK("https://leilaoonline.com.br/lote/detalhe/145185", " ACA-MRO-004-2022 - APROX. 93213 - MASCARAS RESPIRADORAS TECIDO U - LOC: Açailândia - MA")</f>
      </c>
      <c r="C132" s="4" t="inlineStr">
        <is>
          <t>Não vendido</t>
        </is>
      </c>
      <c r="D132" s="4" t="inlineStr">
        <is>
          <t>5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=HYPERLINK("https://leilaoonline.com.br/lote/detalhe/145206", "1201")</f>
      </c>
      <c r="B133" s="4" t="s">
        <f>=HYPERLINK("https://leilaoonline.com.br/lote/detalhe/145206", " ACA-MRO-005-2022 - APROX. 41 ITENS - CORREIA, PINO, BUCHA E OUTROS - VEJA DESCRITIVO DE ITENS -  LOC: Açailândia - MA")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=HYPERLINK("https://leilaoonline.com.br/lote/detalhe/145188", "1202")</f>
      </c>
      <c r="B134" s="4" t="s">
        <f>=HYPERLINK("https://leilaoonline.com.br/lote/detalhe/145188", " ACA-MRO-006-2022 - APROX. 737 ITENS - ROLAMENTO, MOLA, VIGA E OUTROS - VEJA DESCRITIVO DE ITENS -  LOC: Açailândia - MA")</f>
      </c>
      <c r="C134" s="4" t="inlineStr">
        <is>
          <t>Não vendido</t>
        </is>
      </c>
      <c r="D134" s="4" t="inlineStr">
        <is>
          <t>4</t>
        </is>
      </c>
      <c r="E134" s="5" t="inlineStr">
        <is>
          <t>800,00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=HYPERLINK("https://leilaoonline.com.br/lote/detalhe/145193", "1203")</f>
      </c>
      <c r="B135" s="4" t="s">
        <f>=HYPERLINK("https://leilaoonline.com.br/lote/detalhe/145193", " CD-029-2022 - APROX. 672.197 ITENS - MASCARAS RESPIRADORAS TECIDO U - VEJA DESCRITIVO DE ITENS - LOC: Barão de Cocais/Minas Gerais")</f>
      </c>
      <c r="C135" s="4" t="inlineStr">
        <is>
          <t>Não vendido</t>
        </is>
      </c>
      <c r="D135" s="4" t="inlineStr">
        <is>
          <t>37</t>
        </is>
      </c>
      <c r="E135" s="5" t="inlineStr">
        <is>
          <t>5.450,00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=HYPERLINK("https://leilaoonline.com.br/lote/detalhe/145222", "1204")</f>
      </c>
      <c r="B136" s="4" t="s">
        <f>=HYPERLINK("https://leilaoonline.com.br/lote/detalhe/145222", " CD-068-2022 - APROX. 2972 ITENS - MANGUEIRA, RETENTOR, ROLAMENTO E OUTROS - VEJA DESCRITIVO DE ITENS -  LOC: Barão de Cocais/Minas Gerais")</f>
      </c>
      <c r="C136" s="4" t="inlineStr">
        <is>
          <t>Não vendido</t>
        </is>
      </c>
      <c r="D136" s="4" t="inlineStr">
        <is>
          <t>53</t>
        </is>
      </c>
      <c r="E136" s="5" t="inlineStr">
        <is>
          <t>37.400,00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=HYPERLINK("https://leilaoonline.com.br/lote/detalhe/145205", "1205")</f>
      </c>
      <c r="B137" s="4" t="s">
        <f>=HYPERLINK("https://leilaoonline.com.br/lote/detalhe/145205", " CD-150-2022 - APROX. 1298 ITENS - CONDULETE, PLACA BASE, BOBINA E OUTROS - VEJA DESCRITIVO DE ITENS -  LOC: Barão de Cocais/Minas Gerais")</f>
      </c>
      <c r="C137" s="4" t="inlineStr">
        <is>
          <t>Não vendido</t>
        </is>
      </c>
      <c r="D137" s="4" t="inlineStr">
        <is>
          <t>78</t>
        </is>
      </c>
      <c r="E137" s="5" t="inlineStr">
        <is>
          <t>34.500,00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=HYPERLINK("https://leilaoonline.com.br/lote/detalhe/145201", "1206")</f>
      </c>
      <c r="B138" s="4" t="s">
        <f>=HYPERLINK("https://leilaoonline.com.br/lote/detalhe/145201", " CD-151-2022 - APROX. 12611 ITENS - VÁLVULA, ROLAMENTO, CARRETEL E OUTROS - VEJA DESCRITIVO DE ITENS -  LOC: Barão de Cocais/Minas Gerais")</f>
      </c>
      <c r="C138" s="4" t="inlineStr">
        <is>
          <t>Não vendido</t>
        </is>
      </c>
      <c r="D138" s="4" t="inlineStr">
        <is>
          <t>90</t>
        </is>
      </c>
      <c r="E138" s="5" t="inlineStr">
        <is>
          <t>90.650,00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=HYPERLINK("https://leilaoonline.com.br/lote/detalhe/145198", "1207")</f>
      </c>
      <c r="B139" s="4" t="s">
        <f>=HYPERLINK("https://leilaoonline.com.br/lote/detalhe/145198", " CD-202-2022 - APROX. 116 ITENS - TRANSMISSAO 8E1298 CATERPILLAR, FITA ISOL ELET 750V 19MM 20M E OUTROS - VEJA DESCRITIVO DE ITENS -  LOC: Barão de Cocais/Minas Gerais")</f>
      </c>
      <c r="C139" s="4" t="inlineStr">
        <is>
          <t>Vendido</t>
        </is>
      </c>
      <c r="D139" s="4" t="inlineStr">
        <is>
          <t>42</t>
        </is>
      </c>
      <c r="E139" s="5" t="inlineStr">
        <is>
          <t>44.900,00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=HYPERLINK("https://leilaoonline.com.br/lote/detalhe/145204", "1208")</f>
      </c>
      <c r="B140" s="4" t="s">
        <f>=HYPERLINK("https://leilaoonline.com.br/lote/detalhe/145204", " CD-204-2022 - APROX. 1496 ITENS - ROLO TRANSP CARGA, VÁLVULA, LÂMPADA E OUTROS - VEJA DESCRITIVO DE ITENS -  LOC: Barão de Cocais/Minas Gerais")</f>
      </c>
      <c r="C140" s="4" t="inlineStr">
        <is>
          <t>Não vendido</t>
        </is>
      </c>
      <c r="D140" s="4" t="inlineStr">
        <is>
          <t>17</t>
        </is>
      </c>
      <c r="E140" s="5" t="inlineStr">
        <is>
          <t>3.100,00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=HYPERLINK("https://leilaoonline.com.br/lote/detalhe/145211", "1209")</f>
      </c>
      <c r="B141" s="4" t="s">
        <f>=HYPERLINK("https://leilaoonline.com.br/lote/detalhe/145211", " CD-205-2022 -  APROX. 1175 ITENS - PARAFUSO, RETENTOR, TRANSMISSOR E OUTROS - VEJA DESCRITIVO DE ITENS -  LOC: Barão de Cocais/Minas Gerais")</f>
      </c>
      <c r="C141" s="4" t="inlineStr">
        <is>
          <t>Vendido</t>
        </is>
      </c>
      <c r="D141" s="4" t="inlineStr">
        <is>
          <t>20</t>
        </is>
      </c>
      <c r="E141" s="5" t="inlineStr">
        <is>
          <t>11.200,00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=HYPERLINK("https://leilaoonline.com.br/lote/detalhe/145216", "1210")</f>
      </c>
      <c r="B142" s="4" t="s">
        <f>=HYPERLINK("https://leilaoonline.com.br/lote/detalhe/145216", " CKS-ATI-056-2022 - APROX. 25 ITENS - FURADEIRAS E ESMERILHADEIRAS - VEJA DESCRITIVO DE ITENS - LOC: PARAUAPEBAS - PARÁ")</f>
      </c>
      <c r="C142" s="4" t="inlineStr">
        <is>
          <t>Não vendido</t>
        </is>
      </c>
      <c r="D142" s="4" t="inlineStr">
        <is>
          <t>53</t>
        </is>
      </c>
      <c r="E142" s="5" t="inlineStr">
        <is>
          <t>16.000,00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=HYPERLINK("https://leilaoonline.com.br/lote/detalhe/145208", "1211")</f>
      </c>
      <c r="B143" s="4" t="s">
        <f>=HYPERLINK("https://leilaoonline.com.br/lote/detalhe/145208", " CKS-ATI-057-2022 - 1 CAMERA FOTOGRAFICA DIGITAL 14.1MP; FAB SONY; MOD, -W610/L AZ; NS 8040403 -  USADO - ANO: 2013 - LOC: CARAJAS - PARÁ")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50,00</t>
        </is>
      </c>
      <c r="F143" s="4" t="inlineStr">
        <is>
          <t>20.00</t>
        </is>
      </c>
    </row>
    <row collapsed="false" customFormat="false" customHeight="false" hidden="false" ht="12.1" outlineLevel="0" r="144">
      <c r="A144" s="5" t="s">
        <f>=HYPERLINK("https://leilaoonline.com.br/lote/detalhe/145219", "1212")</f>
      </c>
      <c r="B144" s="4" t="s">
        <f>=HYPERLINK("https://leilaoonline.com.br/lote/detalhe/145219", " CKS-ATI-062-2022 - 1 FORNO VIPAO 40 E 1 GRELHA A GAS - VEJA DESCRITIVO DE ITENS - LOC: CARAJAS - PARÁ")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500,00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=HYPERLINK("https://leilaoonline.com.br/lote/detalhe/145213", "1213")</f>
      </c>
      <c r="B145" s="4" t="s">
        <f>=HYPERLINK("https://leilaoonline.com.br/lote/detalhe/145213", " CKS-MRO-054-2022 - APROX. 1.526.661 ITENS - MASCARAS RESPIRADORAS TECIDO - MODELOS E CORES DIVERSOS -  LOC: CARAJAS - PARÁ")</f>
      </c>
      <c r="C145" s="4" t="inlineStr">
        <is>
          <t>Não vendido</t>
        </is>
      </c>
      <c r="D145" s="4" t="inlineStr">
        <is>
          <t>9</t>
        </is>
      </c>
      <c r="E145" s="5" t="inlineStr">
        <is>
          <t>1.400,00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=HYPERLINK("https://leilaoonline.com.br/lote/detalhe/145209", "1214")</f>
      </c>
      <c r="B146" s="4" t="s">
        <f>=HYPERLINK("https://leilaoonline.com.br/lote/detalhe/145209", " CKS-MRO-079-2022 - APROX. 36 ITENS - CAIXA ENGRENAGEM, TAMBOR, CILINDRO E OUTROS - VEJA DESCRITIVO DE ITENS - LOC: CARAJAS - PARÁ")</f>
      </c>
      <c r="C146" s="4" t="inlineStr">
        <is>
          <t>Não vendido</t>
        </is>
      </c>
      <c r="D146" s="4" t="inlineStr">
        <is>
          <t>38</t>
        </is>
      </c>
      <c r="E146" s="5" t="inlineStr">
        <is>
          <t>74.000,00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=HYPERLINK("https://leilaoonline.com.br/lote/detalhe/145195", "1215")</f>
      </c>
      <c r="B147" s="4" t="s">
        <f>=HYPERLINK("https://leilaoonline.com.br/lote/detalhe/145195", " CKS-MRO-084-2022 - APROX. 209 TENS - MODULO, ALTERNADOR. MOTOR E OUTROS - VEJA DESCRITIVO DE ITENS - LOC: CARAJAS - PARÁ")</f>
      </c>
      <c r="C147" s="4" t="inlineStr">
        <is>
          <t>Não vendido</t>
        </is>
      </c>
      <c r="D147" s="4" t="inlineStr">
        <is>
          <t>22</t>
        </is>
      </c>
      <c r="E147" s="5" t="inlineStr">
        <is>
          <t>4.250,00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=HYPERLINK("https://leilaoonline.com.br/lote/detalhe/145192", "1216")</f>
      </c>
      <c r="B148" s="4" t="s">
        <f>=HYPERLINK("https://leilaoonline.com.br/lote/detalhe/145192", " CKS-MRO-085-2022 - APROX. 10.555 ITENS - AVENTAIS E LUVAS - VEJA DESCRITIVO DE ITENS - LOC: CARAJAS - PARÁ")</f>
      </c>
      <c r="C148" s="4" t="inlineStr">
        <is>
          <t>Vendido</t>
        </is>
      </c>
      <c r="D148" s="4" t="inlineStr">
        <is>
          <t>48</t>
        </is>
      </c>
      <c r="E148" s="5" t="inlineStr">
        <is>
          <t>16.750,00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=HYPERLINK("https://leilaoonline.com.br/lote/detalhe/145210", "1217")</f>
      </c>
      <c r="B149" s="4" t="s">
        <f>=HYPERLINK("https://leilaoonline.com.br/lote/detalhe/145210", " CKS-ZIP-002-2022 - APROX. 800 ITENS - RETENTOR COMPONENTE, ROLAMENTO E OUTROS - VEJA DESCRITIVO DE ITENS - LOC: CARAJAS - PARÁ")</f>
      </c>
      <c r="C149" s="4" t="inlineStr">
        <is>
          <t>Não vendido</t>
        </is>
      </c>
      <c r="D149" s="4" t="inlineStr">
        <is>
          <t>17</t>
        </is>
      </c>
      <c r="E149" s="5" t="inlineStr">
        <is>
          <t>2.850,00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=HYPERLINK("https://leilaoonline.com.br/lote/detalhe/145199", "1218")</f>
      </c>
      <c r="B150" s="4" t="s">
        <f>=HYPERLINK("https://leilaoonline.com.br/lote/detalhe/145199", " CKS-ZIP-003-2022 - APROX. 191 ITENS - CHICOTE, CORDOALHA, MANGUEIRA E OUTROS - VEJA DESCRITIVO DE ITENS - LOC: CARAJAS - PARÁ")</f>
      </c>
      <c r="C150" s="4" t="inlineStr">
        <is>
          <t>Não vendido</t>
        </is>
      </c>
      <c r="D150" s="4" t="inlineStr">
        <is>
          <t>24</t>
        </is>
      </c>
      <c r="E150" s="5" t="inlineStr">
        <is>
          <t>4.600,00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=HYPERLINK("https://leilaoonline.com.br/lote/detalhe/145214", "1219")</f>
      </c>
      <c r="B151" s="4" t="s">
        <f>=HYPERLINK("https://leilaoonline.com.br/lote/detalhe/145214", " CKS-ZIP-004-2022 - APROX. 501 ITENS - ANEL, EIXO, ROTOR E OUTROS - VEJA DESCRITIVO DE ITENS - LOC: CARAJAS - PARÁ")</f>
      </c>
      <c r="C151" s="4" t="inlineStr">
        <is>
          <t>Não vendido</t>
        </is>
      </c>
      <c r="D151" s="4" t="inlineStr">
        <is>
          <t>21</t>
        </is>
      </c>
      <c r="E151" s="5" t="inlineStr">
        <is>
          <t>3.200,00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=HYPERLINK("https://leilaoonline.com.br/lote/detalhe/145215", "1220")</f>
      </c>
      <c r="B152" s="4" t="s">
        <f>=HYPERLINK("https://leilaoonline.com.br/lote/detalhe/145215", " CKS-ZIP-005-2022 - APROX. 98 ITENS - MAGUEIRA, CONE E OUTROS - VEJA DESCRITIVO DE ITENS - LOC: CARAJAS - PARÁ")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=HYPERLINK("https://leilaoonline.com.br/lote/detalhe/145221", "1221")</f>
      </c>
      <c r="B153" s="4" t="s">
        <f>=HYPERLINK("https://leilaoonline.com.br/lote/detalhe/145221", " CKS-ZIP-006-2022 - APROX. 237 ITENS - RETENTOR, PISTAO COMPONENTE E OUTROS - VEJA DESCRITIVO DE ITENS - LOC: CARAJAS - PARÁ")</f>
      </c>
      <c r="C153" s="4" t="inlineStr">
        <is>
          <t>Não vendido</t>
        </is>
      </c>
      <c r="D153" s="4" t="inlineStr">
        <is>
          <t>22</t>
        </is>
      </c>
      <c r="E153" s="5" t="inlineStr">
        <is>
          <t>4.200,00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=HYPERLINK("https://leilaoonline.com.br/lote/detalhe/145220", "1222")</f>
      </c>
      <c r="B154" s="4" t="s">
        <f>=HYPERLINK("https://leilaoonline.com.br/lote/detalhe/145220", " CKS-ZIP-007-2022 - APROX. 416 ITENS - ANEL, PARAFUSO, RETENTOR E OUTROS - VEJA DESCRITIVO DE ITENS - LOC: CARAJAS - PARÁ")</f>
      </c>
      <c r="C154" s="4" t="inlineStr">
        <is>
          <t>Não vendido</t>
        </is>
      </c>
      <c r="D154" s="4" t="inlineStr">
        <is>
          <t>22</t>
        </is>
      </c>
      <c r="E154" s="5" t="inlineStr">
        <is>
          <t>3.800,00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=HYPERLINK("https://leilaoonline.com.br/lote/detalhe/145212", "1223")</f>
      </c>
      <c r="B155" s="4" t="s">
        <f>=HYPERLINK("https://leilaoonline.com.br/lote/detalhe/145212", " CKS-ZIP-008-2022 - APROX. 311 ITENS - MANGUEIRA, ANEL, CONE, LUVA E OUTROS - VEJA DESCRITIVO DE ITENS - LOC: CARAJAS - PARÁ")</f>
      </c>
      <c r="C155" s="4" t="inlineStr">
        <is>
          <t>Não vendido</t>
        </is>
      </c>
      <c r="D155" s="4" t="inlineStr">
        <is>
          <t>23</t>
        </is>
      </c>
      <c r="E155" s="5" t="inlineStr">
        <is>
          <t>4.050,00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=HYPERLINK("https://leilaoonline.com.br/lote/detalhe/145217", "1224")</f>
      </c>
      <c r="B156" s="4" t="s">
        <f>=HYPERLINK("https://leilaoonline.com.br/lote/detalhe/145217", " CKS-ZIP-009-2022 - APROX. 450 ITENS - ARRUELA, JUNTAS E VEDAÇÕES, E OUTROS - VEJA DESCRITIVO DE ITENS - LOC: CARAJAS - PARÁ")</f>
      </c>
      <c r="C156" s="4" t="inlineStr">
        <is>
          <t>Não vendido</t>
        </is>
      </c>
      <c r="D156" s="4" t="inlineStr">
        <is>
          <t>21</t>
        </is>
      </c>
      <c r="E156" s="5" t="inlineStr">
        <is>
          <t>3.400,00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=HYPERLINK("https://leilaoonline.com.br/lote/detalhe/145224", "1225")</f>
      </c>
      <c r="B157" s="4" t="s">
        <f>=HYPERLINK("https://leilaoonline.com.br/lote/detalhe/145224", " CKS-ZIP-010-2022 - APROX. 295 ITENS - FILTRO HIDRAULICO, VÁLVULA, SUPORTE E OUTROS - VEJA DESCRITIVO DE ITENS - LOC: CARAJAS - PARÁ")</f>
      </c>
      <c r="C157" s="4" t="inlineStr">
        <is>
          <t>Não vendido</t>
        </is>
      </c>
      <c r="D157" s="4" t="inlineStr">
        <is>
          <t>14</t>
        </is>
      </c>
      <c r="E157" s="5" t="inlineStr">
        <is>
          <t>2.200,00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=HYPERLINK("https://leilaoonline.com.br/lote/detalhe/145186", "1226")</f>
      </c>
      <c r="B158" s="4" t="s">
        <f>=HYPERLINK("https://leilaoonline.com.br/lote/detalhe/145186", " CKS-ZIP-011-2022 - APROX. 29 ITENS - EIXO, ANEL, MANCAL E OUTROS - VEJA DESCRITIVO DE ITENS - LOC: CARAJAS - PARÁ")</f>
      </c>
      <c r="C158" s="4" t="inlineStr">
        <is>
          <t>Não vendido</t>
        </is>
      </c>
      <c r="D158" s="4" t="inlineStr">
        <is>
          <t>13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=HYPERLINK("https://leilaoonline.com.br/lote/detalhe/145218", "1227")</f>
      </c>
      <c r="B159" s="4" t="s">
        <f>=HYPERLINK("https://leilaoonline.com.br/lote/detalhe/145218", " CKS-ZIP-012-2022 - APROX. 311 ITENS - ROLAMENTO ROLO CONICO, PORCA, ARRUELA E OUTROS - VEJA DESCRITIVO DE ITENS - LOC: CARAJAS - PARÁ")</f>
      </c>
      <c r="C159" s="4" t="inlineStr">
        <is>
          <t>Não vendido</t>
        </is>
      </c>
      <c r="D159" s="4" t="inlineStr">
        <is>
          <t>24</t>
        </is>
      </c>
      <c r="E159" s="5" t="inlineStr">
        <is>
          <t>5.650,00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=HYPERLINK("https://leilaoonline.com.br/lote/detalhe/145223", "1228")</f>
      </c>
      <c r="B160" s="4" t="s">
        <f>=HYPERLINK("https://leilaoonline.com.br/lote/detalhe/145223", " CKS-ZIP-013-2022 - APROX. 145 ITENS - CALCO, MANGUEIRA, LUVA E OUTROS - VEJA DESCRITIVO DE ITENS - LOC: CARAJAS - PARÁ")</f>
      </c>
      <c r="C160" s="4" t="inlineStr">
        <is>
          <t>Não vendido</t>
        </is>
      </c>
      <c r="D160" s="4" t="inlineStr">
        <is>
          <t>14</t>
        </is>
      </c>
      <c r="E160" s="5" t="inlineStr">
        <is>
          <t>1.800,00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=HYPERLINK("https://leilaoonline.com.br/lote/detalhe/145251", "1229")</f>
      </c>
      <c r="B161" s="4" t="s">
        <f>=HYPERLINK("https://leilaoonline.com.br/lote/detalhe/145251", " CPBS-010-2022- APROX. 47 LAMPADAS FLUORESCENTE, LOC. ITAGUAI - PORTO DE SEPETIBA")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=HYPERLINK("https://leilaoonline.com.br/lote/detalhe/145242", "1230")</f>
      </c>
      <c r="B162" s="4" t="s">
        <f>=HYPERLINK("https://leilaoonline.com.br/lote/detalhe/145242", " CPBS-011-2022 - APROX. 41 ITENS - SENSORES, MANCAIS, PARAFUSOS E OUTROS - VEJA DESCRITIVO DE ITENS - LOC. ITAGUAI - PORTO DE SEPETIBA")</f>
      </c>
      <c r="C162" s="4" t="inlineStr">
        <is>
          <t>Não vendido</t>
        </is>
      </c>
      <c r="D162" s="4" t="inlineStr">
        <is>
          <t>17</t>
        </is>
      </c>
      <c r="E162" s="5" t="inlineStr">
        <is>
          <t>2.100,00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=HYPERLINK("https://leilaoonline.com.br/lote/detalhe/145248", "1231")</f>
      </c>
      <c r="B163" s="4" t="s">
        <f>=HYPERLINK("https://leilaoonline.com.br/lote/detalhe/145248", " CPBS-012-2022 - APROX. 306 ITENS - FUSIVEL VIDRO, RETENTOR,E OUTROS - VEJA DESCRITIVO DE ITENS -  LOC.ITAGUAI - PORTO DE SEPETIBA 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=HYPERLINK("https://leilaoonline.com.br/lote/detalhe/145247", "1232")</f>
      </c>
      <c r="B164" s="4" t="s">
        <f>=HYPERLINK("https://leilaoonline.com.br/lote/detalhe/145247", " CPBS-014-2022- REFRIGERADO VERTICAL COM 02 PORTAS EM AÇO INOX, PASS THROUGH 1400X800X2100 mm / Marca: STEEL / N° Serie 84182900- LOC.ITAGUAI - PORTO DE SEPETIBA 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=HYPERLINK("https://leilaoonline.com.br/lote/detalhe/145243", "1233")</f>
      </c>
      <c r="B165" s="4" t="s">
        <f>=HYPERLINK("https://leilaoonline.com.br/lote/detalhe/145243", " CPBS-015-2022- CALDEIRA ALIMENTICIA FAB PPIENK 2011 / N° SERIE 84182900 / N° INVENTARIO EY02127 / MARCA STEEL / ANO FABRIC. 2012 - LOC. ITAGUAI - PORTO DE SEPETIBA")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=HYPERLINK("https://leilaoonline.com.br/lote/detalhe/145245", "1234")</f>
      </c>
      <c r="B166" s="4" t="s">
        <f>=HYPERLINK("https://leilaoonline.com.br/lote/detalhe/145245", " CPBS-016-2022- APROX.252 ITENS, PORCAS , FILTROS  E OUTROS - VEJA DESCRITIVO DE ITENS - LOC. ITAGUAI - PORTO DE SEPETIBA")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=HYPERLINK("https://leilaoonline.com.br/lote/detalhe/145250", "1235")</f>
      </c>
      <c r="B167" s="4" t="s">
        <f>=HYPERLINK("https://leilaoonline.com.br/lote/detalhe/145250", " FAB-122-2022- APROX. 318 ITENS, CHAPA , MANGUEIRAS, TUBO E OUTROS - VEJA DESCRITIVO DE ITENS - LOC. ITAGUAI - PORTO DE SEPETIBA")</f>
      </c>
      <c r="C167" s="4" t="inlineStr">
        <is>
          <t>Não vendido</t>
        </is>
      </c>
      <c r="D167" s="4" t="inlineStr">
        <is>
          <t>5</t>
        </is>
      </c>
      <c r="E167" s="5" t="inlineStr">
        <is>
          <t>900,00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=HYPERLINK("https://leilaoonline.com.br/lote/detalhe/145244", "1236")</f>
      </c>
      <c r="B168" s="4" t="s">
        <f>=HYPERLINK("https://leilaoonline.com.br/lote/detalhe/145244", " FAB-128-2022- 04 ITENS, AQUECEDOR, CHAPA E OUTROS - VEJA DESCRITIVO DE ITENS - LOC. Ouro Preto/MG")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=HYPERLINK("https://leilaoonline.com.br/lote/detalhe/145253", "1237")</f>
      </c>
      <c r="B169" s="4" t="s">
        <f>=HYPERLINK("https://leilaoonline.com.br/lote/detalhe/145253", " FAB-129-2022- APROX.672 ITENS, PLACAS, CORREIAS , ANEIS E OUTROS - VEJA DESCRITIVO DE ITENS - LOC. Ouro Preto/MG ")</f>
      </c>
      <c r="C169" s="4" t="inlineStr">
        <is>
          <t>Não vendido</t>
        </is>
      </c>
      <c r="D169" s="4" t="inlineStr">
        <is>
          <t>5</t>
        </is>
      </c>
      <c r="E169" s="5" t="inlineStr">
        <is>
          <t>900,00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=HYPERLINK("https://leilaoonline.com.br/lote/detalhe/145246", "1238")</f>
      </c>
      <c r="B170" s="4" t="s">
        <f>=HYPERLINK("https://leilaoonline.com.br/lote/detalhe/145246", " FAB-130-2022 - APROX. 122 ITENS, MANGUEIRAS, BOBINA, MOTORES E OUTROS - VEJA DESCRITIVO DE ITENS - LOC. Ouro Preto/MG")</f>
      </c>
      <c r="C170" s="4" t="inlineStr">
        <is>
          <t>Não vendido</t>
        </is>
      </c>
      <c r="D170" s="4" t="inlineStr">
        <is>
          <t>20</t>
        </is>
      </c>
      <c r="E170" s="5" t="inlineStr">
        <is>
          <t>3.300,00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=HYPERLINK("https://leilaoonline.com.br/lote/detalhe/145252", "1239")</f>
      </c>
      <c r="B171" s="4" t="s">
        <f>=HYPERLINK("https://leilaoonline.com.br/lote/detalhe/145252", " FAB-131-2022- APROX. 147 ITENS, CJ. BOMBAS, ARRUELAS E OUTROS - VEJA DESCRITIVO DE ITENS - LOC.Ouro Preto/MG")</f>
      </c>
      <c r="C171" s="4" t="inlineStr">
        <is>
          <t>Não vendido</t>
        </is>
      </c>
      <c r="D171" s="4" t="inlineStr">
        <is>
          <t>4</t>
        </is>
      </c>
      <c r="E171" s="5" t="inlineStr">
        <is>
          <t>800,00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=HYPERLINK("https://leilaoonline.com.br/lote/detalhe/145249", "1240")</f>
      </c>
      <c r="B172" s="4" t="s">
        <f>=HYPERLINK("https://leilaoonline.com.br/lote/detalhe/145249", " FAB-132-2022 -APROX.196 ITENS, ANEIS, CHICOTES , BUCHAS  E OUTROS - VEJA DESCRITIVO DE ITENS - LOC.Ouro Preto/MG")</f>
      </c>
      <c r="C172" s="4" t="inlineStr">
        <is>
          <t>Não vendido</t>
        </is>
      </c>
      <c r="D172" s="4" t="inlineStr">
        <is>
          <t>3</t>
        </is>
      </c>
      <c r="E172" s="5" t="inlineStr">
        <is>
          <t>700,00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=HYPERLINK("https://leilaoonline.com.br/lote/detalhe/145254", "1241")</f>
      </c>
      <c r="B173" s="4" t="s">
        <f>=HYPERLINK("https://leilaoonline.com.br/lote/detalhe/145254", " FAB-133-2022- APROX. 199 ITENS, FILTROS, CHAPAS  E OUTROS - VEJA DESCRITIVO DE ITENS - LOC.Ouro Preto/MG")</f>
      </c>
      <c r="C173" s="4" t="inlineStr">
        <is>
          <t>Não vendido</t>
        </is>
      </c>
      <c r="D173" s="4" t="inlineStr">
        <is>
          <t>9</t>
        </is>
      </c>
      <c r="E173" s="5" t="inlineStr">
        <is>
          <t>1.400,00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=HYPERLINK("https://leilaoonline.com.br/lote/detalhe/145310", "1242")</f>
      </c>
      <c r="B174" s="4" t="s">
        <f>=HYPERLINK("https://leilaoonline.com.br/lote/detalhe/145310", " FAB-134-2022 - APROX. 131 ITENS, PLACAS, MOTORES E OUTROS - VEJA DESCRITIVO DE ITENS - LOC.Ouro Preto/MG")</f>
      </c>
      <c r="C174" s="4" t="inlineStr">
        <is>
          <t>Não vendido</t>
        </is>
      </c>
      <c r="D174" s="4" t="inlineStr">
        <is>
          <t>10</t>
        </is>
      </c>
      <c r="E174" s="5" t="inlineStr">
        <is>
          <t>1.600,00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=HYPERLINK("https://leilaoonline.com.br/lote/detalhe/145316", "1243")</f>
      </c>
      <c r="B175" s="4" t="s">
        <f>=HYPERLINK("https://leilaoonline.com.br/lote/detalhe/145316", " FAB-135-2022- APROX. 179 ITENS, SENSORES, MANGUEIRAS  E OUTROS - VEJA DESCRITIVO DE ITENS - LOC.Ouro Preto/MG")</f>
      </c>
      <c r="C175" s="4" t="inlineStr">
        <is>
          <t>Não vendido</t>
        </is>
      </c>
      <c r="D175" s="4" t="inlineStr">
        <is>
          <t>4</t>
        </is>
      </c>
      <c r="E175" s="5" t="inlineStr">
        <is>
          <t>800,00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=HYPERLINK("https://leilaoonline.com.br/lote/detalhe/145333", "1244")</f>
      </c>
      <c r="B176" s="4" t="s">
        <f>=HYPERLINK("https://leilaoonline.com.br/lote/detalhe/145333", " FAB-136-2022- APROX. 203 ITENS, LIMPADOR, PARAFUSOS E OUTROS - VEJA DESCRITIVO DE ITENS - LOC.Ouro Preto/MG")</f>
      </c>
      <c r="C176" s="4" t="inlineStr">
        <is>
          <t>Não vendido</t>
        </is>
      </c>
      <c r="D176" s="4" t="inlineStr">
        <is>
          <t>2</t>
        </is>
      </c>
      <c r="E176" s="5" t="inlineStr">
        <is>
          <t>600,00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=HYPERLINK("https://leilaoonline.com.br/lote/detalhe/145337", "1245")</f>
      </c>
      <c r="B177" s="4" t="s">
        <f>=HYPERLINK("https://leilaoonline.com.br/lote/detalhe/145337", " FAB-137-2022- APROX. 78 ITENS, FILTROS, VALVULAS  E OUTROS - VEJA DESCRITIVO DE ITENS - LOC.Ouro Preto/MG")</f>
      </c>
      <c r="C177" s="4" t="inlineStr">
        <is>
          <t>Não vendido</t>
        </is>
      </c>
      <c r="D177" s="4" t="inlineStr">
        <is>
          <t>3</t>
        </is>
      </c>
      <c r="E177" s="5" t="inlineStr">
        <is>
          <t>700,00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=HYPERLINK("https://leilaoonline.com.br/lote/detalhe/145330", "1246")</f>
      </c>
      <c r="B178" s="4" t="s">
        <f>=HYPERLINK("https://leilaoonline.com.br/lote/detalhe/145330", " FAB-138-2022- APROX. 94 ITENS, PARAFUSOS, MANCAIS  E OUTROS - VEJA DESCRITIVO DE ITENS - LOC.Ouro Preto/MG")</f>
      </c>
      <c r="C178" s="4" t="inlineStr">
        <is>
          <t>Não vendido</t>
        </is>
      </c>
      <c r="D178" s="4" t="inlineStr">
        <is>
          <t>9</t>
        </is>
      </c>
      <c r="E178" s="5" t="inlineStr">
        <is>
          <t>1.400,00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=HYPERLINK("https://leilaoonline.com.br/lote/detalhe/145339", "1247")</f>
      </c>
      <c r="B179" s="4" t="s">
        <f>=HYPERLINK("https://leilaoonline.com.br/lote/detalhe/145339", " FAB-139-2022- APROX. 259 ITENS, MANGUEIRAS, ARRUELAS  E OUTROS - VEJA DESCRITIVO DE ITENS - LOC.Ouro Preto/MG")</f>
      </c>
      <c r="C179" s="4" t="inlineStr">
        <is>
          <t>Não vendido</t>
        </is>
      </c>
      <c r="D179" s="4" t="inlineStr">
        <is>
          <t>6</t>
        </is>
      </c>
      <c r="E179" s="5" t="inlineStr">
        <is>
          <t>1.000,00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=HYPERLINK("https://leilaoonline.com.br/lote/detalhe/145331", "1248")</f>
      </c>
      <c r="B180" s="4" t="s">
        <f>=HYPERLINK("https://leilaoonline.com.br/lote/detalhe/145331", " FAB-140-2022- APROX. 259 ITENS, MANGUEIRAS, ARRUELAS  E OUTROS - VEJA DESCRITIVO DE ITENS - LOC.Ouro Preto/MG")</f>
      </c>
      <c r="C180" s="4" t="inlineStr">
        <is>
          <t>Não vendido</t>
        </is>
      </c>
      <c r="D180" s="4" t="inlineStr">
        <is>
          <t>6</t>
        </is>
      </c>
      <c r="E180" s="5" t="inlineStr">
        <is>
          <t>1.000,00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=HYPERLINK("https://leilaoonline.com.br/lote/detalhe/145323", "1249")</f>
      </c>
      <c r="B181" s="4" t="s">
        <f>=HYPERLINK("https://leilaoonline.com.br/lote/detalhe/145323", " FAB-141-2022- APROX. 194 ITENS, VALVULAS, ARRUELAS  E OUTROS - VEJA DESCRITIVO DE ITENS - LOC.Ouro Preto/MG")</f>
      </c>
      <c r="C181" s="4" t="inlineStr">
        <is>
          <t>Não vendido</t>
        </is>
      </c>
      <c r="D181" s="4" t="inlineStr">
        <is>
          <t>13</t>
        </is>
      </c>
      <c r="E181" s="5" t="inlineStr">
        <is>
          <t>2.000,00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=HYPERLINK("https://leilaoonline.com.br/lote/detalhe/145326", "1250")</f>
      </c>
      <c r="B182" s="4" t="s">
        <f>=HYPERLINK("https://leilaoonline.com.br/lote/detalhe/145326", " FAB-142-2022- APROX. 417 ITENS, PARAFUSOS, FILTROS  E OUTROS - VEJA DESCRITIVO DE ITENS - LOC.Ouro Preto/MG")</f>
      </c>
      <c r="C182" s="4" t="inlineStr">
        <is>
          <t>Não vendido</t>
        </is>
      </c>
      <c r="D182" s="4" t="inlineStr">
        <is>
          <t>3</t>
        </is>
      </c>
      <c r="E182" s="5" t="inlineStr">
        <is>
          <t>700,00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=HYPERLINK("https://leilaoonline.com.br/lote/detalhe/145332", "1251")</f>
      </c>
      <c r="B183" s="4" t="s">
        <f>=HYPERLINK("https://leilaoonline.com.br/lote/detalhe/145332", " FAB-143-2022- APROX. 458 ITENS, MANGUEIRAS, PROTETORES  E OUTROS - VEJA DESCRITIVO DE ITENS - LOC.Ouro Preto/MG")</f>
      </c>
      <c r="C183" s="4" t="inlineStr">
        <is>
          <t>Não vendido</t>
        </is>
      </c>
      <c r="D183" s="4" t="inlineStr">
        <is>
          <t>12</t>
        </is>
      </c>
      <c r="E183" s="5" t="inlineStr">
        <is>
          <t>2.100,00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=HYPERLINK("https://leilaoonline.com.br/lote/detalhe/145338", "1252")</f>
      </c>
      <c r="B184" s="4" t="s">
        <f>=HYPERLINK("https://leilaoonline.com.br/lote/detalhe/145338", " FAB-144-2022- APROX. 379 ITENS, COTOVELOS, ROLAMENTOS  E OUTROS - VEJA DESCRITIVO DE ITENS - LOC.Ouro Preto/MG")</f>
      </c>
      <c r="C184" s="4" t="inlineStr">
        <is>
          <t>Não vendido</t>
        </is>
      </c>
      <c r="D184" s="4" t="inlineStr">
        <is>
          <t>62</t>
        </is>
      </c>
      <c r="E184" s="5" t="inlineStr">
        <is>
          <t>19.250,00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=HYPERLINK("https://leilaoonline.com.br/lote/detalhe/145329", "1253")</f>
      </c>
      <c r="B185" s="4" t="s">
        <f>=HYPERLINK("https://leilaoonline.com.br/lote/detalhe/145329", " FAB-145-2022- APROX. 205 ITENS, FILTROS, MANCAIS  E OUTROS - VEJA DESCRITIVO DE ITENS - LOC.Ouro Preto/MG")</f>
      </c>
      <c r="C185" s="4" t="inlineStr">
        <is>
          <t>Não vendido</t>
        </is>
      </c>
      <c r="D185" s="4" t="inlineStr">
        <is>
          <t>30</t>
        </is>
      </c>
      <c r="E185" s="5" t="inlineStr">
        <is>
          <t>3.850,00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=HYPERLINK("https://leilaoonline.com.br/lote/detalhe/145334", "1254")</f>
      </c>
      <c r="B186" s="4" t="s">
        <f>=HYPERLINK("https://leilaoonline.com.br/lote/detalhe/145334", " FAB-146-2022- APROX. 244 ITENS, ADAPTADORES, ROLETES  E OUTROS - VEJA DESCRITIVO DE ITENS - LOC.Ouro Preto/MG")</f>
      </c>
      <c r="C186" s="4" t="inlineStr">
        <is>
          <t>Não vendido</t>
        </is>
      </c>
      <c r="D186" s="4" t="inlineStr">
        <is>
          <t>28</t>
        </is>
      </c>
      <c r="E186" s="5" t="inlineStr">
        <is>
          <t>6.900,00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=HYPERLINK("https://leilaoonline.com.br/lote/detalhe/145336", "1255")</f>
      </c>
      <c r="B187" s="4" t="s">
        <f>=HYPERLINK("https://leilaoonline.com.br/lote/detalhe/145336", " FAB-147-2022- APROX. 202 ITENS, FILTROS, PARAFUSOS  E OUTROS - VEJA DESCRITIVO DE ITENS - LOC.Ouro Preto/MG")</f>
      </c>
      <c r="C187" s="4" t="inlineStr">
        <is>
          <t>Não vendido</t>
        </is>
      </c>
      <c r="D187" s="4" t="inlineStr">
        <is>
          <t>81</t>
        </is>
      </c>
      <c r="E187" s="5" t="inlineStr">
        <is>
          <t>20.300,00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=HYPERLINK("https://leilaoonline.com.br/lote/detalhe/145340", "1256")</f>
      </c>
      <c r="B188" s="4" t="s">
        <f>=HYPERLINK("https://leilaoonline.com.br/lote/detalhe/145340", " FAB-148-2022- APROX. 240 ITENS, ROLAMENTOS,ANEIS  E OUTROS - VEJA DESCRITIVO DE ITENS - LOC.Ouro Preto/MG")</f>
      </c>
      <c r="C188" s="4" t="inlineStr">
        <is>
          <t>Não vendido</t>
        </is>
      </c>
      <c r="D188" s="4" t="inlineStr">
        <is>
          <t>90</t>
        </is>
      </c>
      <c r="E188" s="5" t="inlineStr">
        <is>
          <t>58.500,00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=HYPERLINK("https://leilaoonline.com.br/lote/detalhe/145665", "1257")</f>
      </c>
      <c r="B189" s="4" t="s">
        <f>=HYPERLINK("https://leilaoonline.com.br/lote/detalhe/145665", " S11D-012-2022-MRO- APROX.320 TELAS PEN NAO MET 350MM 2783T/H - LOC. CANAÃ DOS CARAJÁS/PA")</f>
      </c>
      <c r="C189" s="4" t="inlineStr">
        <is>
          <t>Vendido</t>
        </is>
      </c>
      <c r="D189" s="4" t="inlineStr">
        <is>
          <t>16</t>
        </is>
      </c>
      <c r="E189" s="5" t="inlineStr">
        <is>
          <t>5.229,00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=HYPERLINK("https://leilaoonline.com.br/lote/detalhe/145670", "1258")</f>
      </c>
      <c r="B190" s="4" t="s">
        <f>=HYPERLINK("https://leilaoonline.com.br/lote/detalhe/145670", " S11D-013-2022-MRO- APROX. 27 ITENS, TELA PEN NAO MET 350MM 2783T/H, E OUTROS, VEJA DESCRITIVO DE ITENS, LOC.CANAÃ DOS CARAJAS/PA")</f>
      </c>
      <c r="C190" s="4" t="inlineStr">
        <is>
          <t>Não vendido</t>
        </is>
      </c>
      <c r="D190" s="4" t="inlineStr">
        <is>
          <t>55</t>
        </is>
      </c>
      <c r="E190" s="5" t="inlineStr">
        <is>
          <t>20.850,00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=HYPERLINK("https://leilaoonline.com.br/lote/detalhe/145667", "1259")</f>
      </c>
      <c r="B191" s="4" t="s">
        <f>=HYPERLINK("https://leilaoonline.com.br/lote/detalhe/145667", " SFH-024-2022 - APROX. 104 TELAS METALICAS DIVERSOS. - VEJA DESCRITIVO DE ITENS - LOC. SIMÕES FILHO/BA")</f>
      </c>
      <c r="C191" s="4" t="inlineStr">
        <is>
          <t>Não vendido</t>
        </is>
      </c>
      <c r="D191" s="4" t="inlineStr">
        <is>
          <t>37</t>
        </is>
      </c>
      <c r="E191" s="5" t="inlineStr">
        <is>
          <t>24.600,00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=HYPERLINK("https://leilaoonline.com.br/lote/detalhe/145666", "1260")</f>
      </c>
      <c r="B192" s="4" t="s">
        <f>=HYPERLINK("https://leilaoonline.com.br/lote/detalhe/145666", " SFH-029-2022 - 02 ANEIS VED AI A351 CF3 0,375POL, 01 ANEL AR 142.135 DESENHO VALE,  LOC. Simões Filho / Bahia")</f>
      </c>
      <c r="C192" s="4" t="inlineStr">
        <is>
          <t>Não vendido</t>
        </is>
      </c>
      <c r="D192" s="4" t="inlineStr">
        <is>
          <t>21</t>
        </is>
      </c>
      <c r="E192" s="5" t="inlineStr">
        <is>
          <t>5.200,00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=HYPERLINK("https://leilaoonline.com.br/lote/detalhe/145664", "1261")</f>
      </c>
      <c r="B193" s="4" t="s">
        <f>=HYPERLINK("https://leilaoonline.com.br/lote/detalhe/145664", " SFH-030-2022 - APROX. 356,4 KGS, FITA; TIPO FITA: ISOLACAO TERMICA;  LOC. Simões Filho / Bahia")</f>
      </c>
      <c r="C193" s="4" t="inlineStr">
        <is>
          <t>Não vendido</t>
        </is>
      </c>
      <c r="D193" s="4" t="inlineStr">
        <is>
          <t>13</t>
        </is>
      </c>
      <c r="E193" s="5" t="inlineStr">
        <is>
          <t>2.100,00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=HYPERLINK("https://leilaoonline.com.br/lote/detalhe/145653", "1262")</f>
      </c>
      <c r="B194" s="4" t="s">
        <f>=HYPERLINK("https://leilaoonline.com.br/lote/detalhe/145653", " SFH-031-2022 - APROX.134 ITENS. - ACOPLAMENTOS, ANEIS  E OUTROS - VEJA DESCRITIVO DE ITENS - LOC. Simões Filho / Bahia")</f>
      </c>
      <c r="C194" s="4" t="inlineStr">
        <is>
          <t>Não vendido</t>
        </is>
      </c>
      <c r="D194" s="4" t="inlineStr">
        <is>
          <t>21</t>
        </is>
      </c>
      <c r="E194" s="5" t="inlineStr">
        <is>
          <t>6.500,00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=HYPERLINK("https://leilaoonline.com.br/lote/detalhe/145658", "1263")</f>
      </c>
      <c r="B195" s="4" t="s">
        <f>=HYPERLINK("https://leilaoonline.com.br/lote/detalhe/145658", " SFH-032-2022 - APROX. 10.301 ITENS, FILTROS, MANGAS E OUTROS - VEJA DESCRITIVO DE ITENS - LOC. Simões Filho / Bahia")</f>
      </c>
      <c r="C195" s="4" t="inlineStr">
        <is>
          <t>Não vendido</t>
        </is>
      </c>
      <c r="D195" s="4" t="inlineStr">
        <is>
          <t>2</t>
        </is>
      </c>
      <c r="E195" s="5" t="inlineStr">
        <is>
          <t>600,00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=HYPERLINK("https://leilaoonline.com.br/lote/detalhe/145661", "1264")</f>
      </c>
      <c r="B196" s="4" t="s">
        <f>=HYPERLINK("https://leilaoonline.com.br/lote/detalhe/145661", " SFH-033-2022 - APROX. 106 ITENS, FILTROS DIVERSOS,  VEJA DESCRITIVO DE ITENS - LOC. Simões Filho / Bahia")</f>
      </c>
      <c r="C196" s="4" t="inlineStr">
        <is>
          <t>Não vendido</t>
        </is>
      </c>
      <c r="D196" s="4" t="inlineStr">
        <is>
          <t>2</t>
        </is>
      </c>
      <c r="E196" s="5" t="inlineStr">
        <is>
          <t>600,00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=HYPERLINK("https://leilaoonline.com.br/lote/detalhe/145669", "1265")</f>
      </c>
      <c r="B197" s="4" t="s">
        <f>=HYPERLINK("https://leilaoonline.com.br/lote/detalhe/145669", " SFH-036-2022- APROX. 360 MTS, CORREIA TRANSPORTADORA, CONSTRUÇÃO,  LOC. Simões Filho / Bahia")</f>
      </c>
      <c r="C197" s="4" t="inlineStr">
        <is>
          <t>Vendido</t>
        </is>
      </c>
      <c r="D197" s="4" t="inlineStr">
        <is>
          <t>29</t>
        </is>
      </c>
      <c r="E197" s="5" t="inlineStr">
        <is>
          <t>41.600,00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=HYPERLINK("https://leilaoonline.com.br/lote/detalhe/145668", "1266")</f>
      </c>
      <c r="B198" s="4" t="s">
        <f>=HYPERLINK("https://leilaoonline.com.br/lote/detalhe/145668", " SIS-006-2022 - APROX. 40 LONGARINAS 3 LUGARES COM ASSENTO/ENCOSTO EM POLIP, LOC. Santa Inês/ MA")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=HYPERLINK("https://leilaoonline.com.br/lote/detalhe/145654", "1267")</f>
      </c>
      <c r="B199" s="4" t="s">
        <f>=HYPERLINK("https://leilaoonline.com.br/lote/detalhe/145654", " SIS-007-2022 - APROX. 40 LONGARINAS 3 LUGARES COM ASSENTO/ENCOSTO EM POLIP , LOC. Santa Inês/ MA")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500,00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=HYPERLINK("https://leilaoonline.com.br/lote/detalhe/145660", "1268")</f>
      </c>
      <c r="B200" s="4" t="s">
        <f>=HYPERLINK("https://leilaoonline.com.br/lote/detalhe/145660", " SLB-017-2022 - APROX. 08 ITENS.  - ALINHADOR A LASER, NOTEBOOK E OUTROS, VEJA DESCRITIVO DE ITENS, LOC.MARABÁ/ PARÁ ")</f>
      </c>
      <c r="C200" s="4" t="inlineStr">
        <is>
          <t>Não vendido</t>
        </is>
      </c>
      <c r="D200" s="4" t="inlineStr">
        <is>
          <t>13</t>
        </is>
      </c>
      <c r="E200" s="5" t="inlineStr">
        <is>
          <t>2.100,00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=HYPERLINK("https://leilaoonline.com.br/lote/detalhe/145672", "1269")</f>
      </c>
      <c r="B201" s="4" t="s">
        <f>=HYPERLINK("https://leilaoonline.com.br/lote/detalhe/145672", " SLB-023-2022 - APROX. 27 ITENS. ESTUFA DE SECAGEM DE VIDRARIA FR 6009-08, TROCADOR DE CALOR, MISTURADOR E OUTROS VEJA DESCRITIVO DE ITENS, LOC.MARABÁ/ PARÁ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=HYPERLINK("https://leilaoonline.com.br/lote/detalhe/145663", "1270")</f>
      </c>
      <c r="B202" s="4" t="s">
        <f>=HYPERLINK("https://leilaoonline.com.br/lote/detalhe/145663", " SLB-027-2022 - APROX. 1510 ITENS DIVERSOS, CHAVES, MODULOS E OUTROS VEJA DESCRITIVO DE ITENS, LOC.MARABÁ/ PARÁ ")</f>
      </c>
      <c r="C202" s="4" t="inlineStr">
        <is>
          <t>Vendido</t>
        </is>
      </c>
      <c r="D202" s="4" t="inlineStr">
        <is>
          <t>40</t>
        </is>
      </c>
      <c r="E202" s="5" t="inlineStr">
        <is>
          <t>20.000,00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=HYPERLINK("https://leilaoonline.com.br/lote/detalhe/145676", "1271")</f>
      </c>
      <c r="B203" s="4" t="s">
        <f>=HYPERLINK("https://leilaoonline.com.br/lote/detalhe/145676", " SLB-028-2022 - 3 CILINDRO 113918 SANDVIK, 1 CILINDRO HIDR 150903 SANDVIK - LOC.MARABÁ/ PARÁ ")</f>
      </c>
      <c r="C203" s="4" t="inlineStr">
        <is>
          <t>Vendido</t>
        </is>
      </c>
      <c r="D203" s="4" t="inlineStr">
        <is>
          <t>7</t>
        </is>
      </c>
      <c r="E203" s="5" t="inlineStr">
        <is>
          <t>1.500,00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=HYPERLINK("https://leilaoonline.com.br/lote/detalhe/145662", "1272")</f>
      </c>
      <c r="B204" s="4" t="s">
        <f>=HYPERLINK("https://leilaoonline.com.br/lote/detalhe/145662", " SLB-031-2022- 02 BALANÇAS ANALITICAS AG 200 E 320G, LOC.MARABÁ/ PARÁ")</f>
      </c>
      <c r="C204" s="4" t="inlineStr">
        <is>
          <t>Não vendido</t>
        </is>
      </c>
      <c r="D204" s="4" t="inlineStr">
        <is>
          <t>3</t>
        </is>
      </c>
      <c r="E204" s="5" t="inlineStr">
        <is>
          <t>700,00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=HYPERLINK("https://leilaoonline.com.br/lote/detalhe/145673", "1273")</f>
      </c>
      <c r="B205" s="4" t="s">
        <f>=HYPERLINK("https://leilaoonline.com.br/lote/detalhe/145673", " SLB-032-2022- APROX. 1690 ITENS, BOMBAS, ANEIS, E OUTROS  VEJA DESCRITIVO DE ITENS, LOC.MARABÁ/ PARÁ ")</f>
      </c>
      <c r="C205" s="4" t="inlineStr">
        <is>
          <t>Não vendido</t>
        </is>
      </c>
      <c r="D205" s="4" t="inlineStr">
        <is>
          <t>13</t>
        </is>
      </c>
      <c r="E205" s="5" t="inlineStr">
        <is>
          <t>15.000,00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=HYPERLINK("https://leilaoonline.com.br/lote/detalhe/145671", "1274")</f>
      </c>
      <c r="B206" s="4" t="s">
        <f>=HYPERLINK("https://leilaoonline.com.br/lote/detalhe/145671", " SLB-039-2022- APROX. 1492 MTS CORREIA TRANS 8MM 8MM 1925MM 500M, LOC.MARABÁ/ PARÁ ")</f>
      </c>
      <c r="C206" s="4" t="inlineStr">
        <is>
          <t>Não vendido</t>
        </is>
      </c>
      <c r="D206" s="4" t="inlineStr">
        <is>
          <t>17</t>
        </is>
      </c>
      <c r="E206" s="5" t="inlineStr">
        <is>
          <t>76.100,00</t>
        </is>
      </c>
      <c r="F206" s="4" t="inlineStr">
        <is>
          <t>2000.00</t>
        </is>
      </c>
    </row>
    <row collapsed="false" customFormat="false" customHeight="false" hidden="false" ht="12.1" outlineLevel="0" r="207">
      <c r="A207" s="5" t="s">
        <f>=HYPERLINK("https://leilaoonline.com.br/lote/detalhe/145674", "1275")</f>
      </c>
      <c r="B207" s="4" t="s">
        <f>=HYPERLINK("https://leilaoonline.com.br/lote/detalhe/145674", " SLB-040-2022- APROX. 1492 MTS, CORREIA TRANS 8MM 8MM 1925MM 500M LOC.MARABÁ/ PARÁ ")</f>
      </c>
      <c r="C207" s="4" t="inlineStr">
        <is>
          <t>Não vendido</t>
        </is>
      </c>
      <c r="D207" s="4" t="inlineStr">
        <is>
          <t>14</t>
        </is>
      </c>
      <c r="E207" s="5" t="inlineStr">
        <is>
          <t>74.000,00</t>
        </is>
      </c>
      <c r="F207" s="4" t="inlineStr">
        <is>
          <t>2000.00</t>
        </is>
      </c>
    </row>
    <row collapsed="false" customFormat="false" customHeight="false" hidden="false" ht="12.1" outlineLevel="0" r="208">
      <c r="A208" s="5" t="s">
        <f>=HYPERLINK("https://leilaoonline.com.br/lote/detalhe/145675", "1276")</f>
      </c>
      <c r="B208" s="4" t="s">
        <f>=HYPERLINK("https://leilaoonline.com.br/lote/detalhe/145675", " SLB-041-2022- APROX. 05 ITENS, AMORTECEDORES, COPRESSORES E OUTROS - VEJA DESCRITIVO DE ITENS  LOC.MARABÁ/ PARÁ ")</f>
      </c>
      <c r="C208" s="4" t="inlineStr">
        <is>
          <t>Vendido</t>
        </is>
      </c>
      <c r="D208" s="4" t="inlineStr">
        <is>
          <t>15</t>
        </is>
      </c>
      <c r="E208" s="5" t="inlineStr">
        <is>
          <t>3.750,00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=HYPERLINK("https://leilaoonline.com.br/lote/detalhe/145283", "1287")</f>
      </c>
      <c r="B209" s="4" t="s">
        <f>=HYPERLINK("https://leilaoonline.com.br/lote/detalhe/145283", " ITA-005-2022 - APROX. 151 ITENS. - LUVA 1078719 CATERPILLAR, BOMBA OLEO 1614113 CATERPILLAR; E OUTROS, VEJA DSCRITIVO DE ITENS. - LOC. ITABIRA/MG")</f>
      </c>
      <c r="C209" s="4" t="inlineStr">
        <is>
          <t>Não vendido</t>
        </is>
      </c>
      <c r="D209" s="4" t="inlineStr">
        <is>
          <t>22</t>
        </is>
      </c>
      <c r="E209" s="5" t="inlineStr">
        <is>
          <t>3.800,00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=HYPERLINK("https://leilaoonline.com.br/lote/detalhe/145284", "1288")</f>
      </c>
      <c r="B210" s="4" t="s">
        <f>=HYPERLINK("https://leilaoonline.com.br/lote/detalhe/145284", " ITA-017-2022 - 9 CARRINHOS TIPO GARI - MANUAL - LOC. ITABIRA/MG")</f>
      </c>
      <c r="C210" s="4" t="inlineStr">
        <is>
          <t>Não vendido</t>
        </is>
      </c>
      <c r="D210" s="4" t="inlineStr">
        <is>
          <t>29</t>
        </is>
      </c>
      <c r="E210" s="5" t="inlineStr">
        <is>
          <t>4.900,00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=HYPERLINK("https://leilaoonline.com.br/lote/detalhe/145291", "1289")</f>
      </c>
      <c r="B211" s="4" t="s">
        <f>=HYPERLINK("https://leilaoonline.com.br/lote/detalhe/145291", " ITA-040-2022 - APROX. 43 ITENS. - RADIADOR RH200, PARAFUSO 101062040 KOMATSU, KIT REPARO 1722753 SCANIA; E OUTROS, VEJA DESCRITIVO DE ITENS. -LOC. ITABIRA/MG")</f>
      </c>
      <c r="C211" s="4" t="inlineStr">
        <is>
          <t>Não vendido</t>
        </is>
      </c>
      <c r="D211" s="4" t="inlineStr">
        <is>
          <t>20</t>
        </is>
      </c>
      <c r="E211" s="5" t="inlineStr">
        <is>
          <t>3.850,00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=HYPERLINK("https://leilaoonline.com.br/lote/detalhe/145281", "1290")</f>
      </c>
      <c r="B212" s="4" t="s">
        <f>=HYPERLINK("https://leilaoonline.com.br/lote/detalhe/145281", " ITA-042-2022 - APROX. 514 ITENS. - PINO 5049084 CATERPILLAR, CAPACITOR 90131640 KOMATSU; E OOUTROS, VEJA DESCRITIVO DE ITENS. - LOC. ITABIRA/MG")</f>
      </c>
      <c r="C212" s="4" t="inlineStr">
        <is>
          <t>Não vendido</t>
        </is>
      </c>
      <c r="D212" s="4" t="inlineStr">
        <is>
          <t>20</t>
        </is>
      </c>
      <c r="E212" s="5" t="inlineStr">
        <is>
          <t>4.700,00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=HYPERLINK("https://leilaoonline.com.br/lote/detalhe/145282", "1291")</f>
      </c>
      <c r="B213" s="4" t="s">
        <f>=HYPERLINK("https://leilaoonline.com.br/lote/detalhe/145282", " ITA-044-2022 - APROX. 79 ITENS. - JUNTA 4T7992 CATERPILLAR, MANGUEIRA 3242751 CATERPILLAR, MANGUEIRA 1623307 CAT. E OUTROS, VEJA DESCRITIVO DE ITENS. - LOC. ITABIRA/MG")</f>
      </c>
      <c r="C213" s="4" t="inlineStr">
        <is>
          <t>Não vendido</t>
        </is>
      </c>
      <c r="D213" s="4" t="inlineStr">
        <is>
          <t>13</t>
        </is>
      </c>
      <c r="E213" s="5" t="inlineStr">
        <is>
          <t>2.400,00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=HYPERLINK("https://leilaoonline.com.br/lote/detalhe/145288", "1292")</f>
      </c>
      <c r="B214" s="4" t="s">
        <f>=HYPERLINK("https://leilaoonline.com.br/lote/detalhe/145288", " ITA-045-2022 - APROX. 1180 ITENS. - BUCHA LU0894 LUFER, MANCAL 9R1107 CATERPILLAR, MANGUEIRA 6240-11-8312 KOMATSU, E OUTROS, VEJA DESCRITIVO DE ITENS. - LOC. ITABIRA/MG")</f>
      </c>
      <c r="C214" s="4" t="inlineStr">
        <is>
          <t>Não vendido</t>
        </is>
      </c>
      <c r="D214" s="4" t="inlineStr">
        <is>
          <t>34</t>
        </is>
      </c>
      <c r="E214" s="5" t="inlineStr">
        <is>
          <t>6.200,00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=HYPERLINK("https://leilaoonline.com.br/lote/detalhe/145285", "1293")</f>
      </c>
      <c r="B215" s="4" t="s">
        <f>=HYPERLINK("https://leilaoonline.com.br/lote/detalhe/145285", " ITA-046-2022 - APROX. 5 ITENS.  REVESTIMENTO TRAS F8041HS1 WEIR EAA11108, KIT REPARO; E OUTROS, VEJA DESCRITIVO DE ITENS. -LOC. ITABIRA/MG ")</f>
      </c>
      <c r="C215" s="4" t="inlineStr">
        <is>
          <t>Vendido</t>
        </is>
      </c>
      <c r="D215" s="4" t="inlineStr">
        <is>
          <t>21</t>
        </is>
      </c>
      <c r="E215" s="5" t="inlineStr">
        <is>
          <t>3.100,00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=HYPERLINK("https://leilaoonline.com.br/lote/detalhe/145287", "1294")</f>
      </c>
      <c r="B216" s="4" t="s">
        <f>=HYPERLINK("https://leilaoonline.com.br/lote/detalhe/145287", " ITA-053-2022 - 2 AR CONDICIONADOS E 1 CIRCULADOR DE AR. - LOC. ITABIRA/MG")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=HYPERLINK("https://leilaoonline.com.br/lote/detalhe/145292", "1295")</f>
      </c>
      <c r="B217" s="4" t="s">
        <f>=HYPERLINK("https://leilaoonline.com.br/lote/detalhe/145292", " ITA-055-2022 - MAQUINA DE PRENSAR PRENSSO PHE300. - LOC. ITABIRA/MG")</f>
      </c>
      <c r="C217" s="4" t="inlineStr">
        <is>
          <t>Vendido</t>
        </is>
      </c>
      <c r="D217" s="4" t="inlineStr">
        <is>
          <t>82</t>
        </is>
      </c>
      <c r="E217" s="5" t="inlineStr">
        <is>
          <t>19.350,00</t>
        </is>
      </c>
      <c r="F217" s="4" t="inlineStr">
        <is>
          <t>500.00</t>
        </is>
      </c>
    </row>
    <row collapsed="false" customFormat="false" customHeight="false" hidden="false" ht="12.1" outlineLevel="0" r="218">
      <c r="A218" s="5" t="s">
        <f>=HYPERLINK("https://leilaoonline.com.br/lote/detalhe/145293", "1296")</f>
      </c>
      <c r="B218" s="4" t="s">
        <f>=HYPERLINK("https://leilaoonline.com.br/lote/detalhe/145293", " ITA-057-2022 - APROX. 31 ITENS. - RETIFICADOR PARA SOLDA GSX 750, MAQUINA DE SOLDA ELETRICA; E OUTROS, VEJA DESCRITIVO DE ITENS. - LOC. ITABIRA/MG")</f>
      </c>
      <c r="C218" s="4" t="inlineStr">
        <is>
          <t>Não vendido</t>
        </is>
      </c>
      <c r="D218" s="4" t="inlineStr">
        <is>
          <t>65</t>
        </is>
      </c>
      <c r="E218" s="5" t="inlineStr">
        <is>
          <t>36.000,00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=HYPERLINK("https://leilaoonline.com.br/lote/detalhe/145290", "1297")</f>
      </c>
      <c r="B219" s="4" t="s">
        <f>=HYPERLINK("https://leilaoonline.com.br/lote/detalhe/145290", " ITA-058-2022 - APROX. 23 MAQUINAS DE SOLDA/DANIFICADAS. - LOC. ITABIRA/MG")</f>
      </c>
      <c r="C219" s="4" t="inlineStr">
        <is>
          <t>Não vendido</t>
        </is>
      </c>
      <c r="D219" s="4" t="inlineStr">
        <is>
          <t>53</t>
        </is>
      </c>
      <c r="E219" s="5" t="inlineStr">
        <is>
          <t>23.000,00</t>
        </is>
      </c>
      <c r="F219" s="4" t="inlineStr">
        <is>
          <t>500.00</t>
        </is>
      </c>
    </row>
    <row collapsed="false" customFormat="false" customHeight="false" hidden="false" ht="12.1" outlineLevel="0" r="220">
      <c r="A220" s="5" t="s">
        <f>=HYPERLINK("https://leilaoonline.com.br/lote/detalhe/145286", "1298")</f>
      </c>
      <c r="B220" s="4" t="s">
        <f>=HYPERLINK("https://leilaoonline.com.br/lote/detalhe/145286", " ITA-059-2022 - APROX. 23 MAQUINAS DE SOLDA/DANIFICADAS. - LOC. ITABIRA/MG")</f>
      </c>
      <c r="C220" s="4" t="inlineStr">
        <is>
          <t>Não vendido</t>
        </is>
      </c>
      <c r="D220" s="4" t="inlineStr">
        <is>
          <t>53</t>
        </is>
      </c>
      <c r="E220" s="5" t="inlineStr">
        <is>
          <t>23.000,00</t>
        </is>
      </c>
      <c r="F220" s="4" t="inlineStr">
        <is>
          <t>500.00</t>
        </is>
      </c>
    </row>
    <row collapsed="false" customFormat="false" customHeight="false" hidden="false" ht="12.1" outlineLevel="0" r="221">
      <c r="A221" s="5" t="s">
        <f>=HYPERLINK("https://leilaoonline.com.br/lote/detalhe/145289", "1299")</f>
      </c>
      <c r="B221" s="4" t="s">
        <f>=HYPERLINK("https://leilaoonline.com.br/lote/detalhe/145289", " ITA-065-2022 - APROX. 8 ITENS. - COMPRESSOR DE AR SCHULZ, FURAD.ELET. KONE, CALANDRA AGA; E OUTROS, VEJA DESCRITIVO DE ITENS. - LOC ITABIRA/MG")</f>
      </c>
      <c r="C221" s="4" t="inlineStr">
        <is>
          <t>Não vendido</t>
        </is>
      </c>
      <c r="D221" s="4" t="inlineStr">
        <is>
          <t>52</t>
        </is>
      </c>
      <c r="E221" s="5" t="inlineStr">
        <is>
          <t>42.500,00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=HYPERLINK("https://leilaoonline.com.br/lote/detalhe/145327", "1300")</f>
      </c>
      <c r="B222" s="4" t="s">
        <f>=HYPERLINK("https://leilaoonline.com.br/lote/detalhe/145327", " MRB-EQ-014-2022 - 11 LONGARINAS DE 3 LUGARES COM ASSENTO/ENCOSTO EM POLIP. - LOC. MARABÁ/PA")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=HYPERLINK("https://leilaoonline.com.br/lote/detalhe/145324", "1301")</f>
      </c>
      <c r="B223" s="4" t="s">
        <f>=HYPERLINK("https://leilaoonline.com.br/lote/detalhe/145324", " MRB-MRO-006-2022 -  APROX. 119 ITENS. - MOL S1000544 BAUMA, GUARNICAO I26964 PLASSER, FAROL AUXILIAR 38M FORTLUZ. - E OUTROS, VEJA DESCRITIVO DE ITENS - LOC. MARABÁ/PA")</f>
      </c>
      <c r="C223" s="4" t="inlineStr">
        <is>
          <t>Não vendido</t>
        </is>
      </c>
      <c r="D223" s="4" t="inlineStr">
        <is>
          <t>5</t>
        </is>
      </c>
      <c r="E223" s="5" t="inlineStr">
        <is>
          <t>900,00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=HYPERLINK("https://leilaoonline.com.br/lote/detalhe/145335", "1302")</f>
      </c>
      <c r="B224" s="4" t="s">
        <f>=HYPERLINK("https://leilaoonline.com.br/lote/detalhe/145335", " MRB-MRO-007-2022 - APROX. 1292 ITENS. - SENSOR PROX EL-T7105 PLASSER, CORREIA 7E6158 CATERPILLAR. - E OUTROS, VEJA DESCRITIVO DE ITENS - LOC. MARABÁ/PA")</f>
      </c>
      <c r="C224" s="4" t="inlineStr">
        <is>
          <t>Não vendido</t>
        </is>
      </c>
      <c r="D224" s="4" t="inlineStr">
        <is>
          <t>7</t>
        </is>
      </c>
      <c r="E224" s="5" t="inlineStr">
        <is>
          <t>2.000,00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=HYPERLINK("https://leilaoonline.com.br/lote/detalhe/145325", "1303")</f>
      </c>
      <c r="B225" s="4" t="s">
        <f>=HYPERLINK("https://leilaoonline.com.br/lote/detalhe/145325", " MUT-045-2022 - APROX. 475 ITENS. - CONEX 1242109 CATERPILLAR, SENSOR NIVEL, BLOCO DA VALVULA; E OUTROS VEJA DESCRITIVO DE ITENS.- LOC. NOVA LIMA/MG")</f>
      </c>
      <c r="C225" s="4" t="inlineStr">
        <is>
          <t>Não vendido</t>
        </is>
      </c>
      <c r="D225" s="4" t="inlineStr">
        <is>
          <t>14</t>
        </is>
      </c>
      <c r="E225" s="5" t="inlineStr">
        <is>
          <t>1.800,00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=HYPERLINK("https://leilaoonline.com.br/lote/detalhe/145319", "1304")</f>
      </c>
      <c r="B226" s="4" t="s">
        <f>=HYPERLINK("https://leilaoonline.com.br/lote/detalhe/145319", " MUT-046-2022 - APROX. 304 ITENS. - PARAFUSO 2N5006 CATERPILLAR, RETENTOR VED FKM, ABRACAD 2094578 CAT; E OUTROS, VEJA DESCRITIVO DE ITENS - LOC. NOVA LIMA/MG")</f>
      </c>
      <c r="C226" s="4" t="inlineStr">
        <is>
          <t>Não vendido</t>
        </is>
      </c>
      <c r="D226" s="4" t="inlineStr">
        <is>
          <t>13</t>
        </is>
      </c>
      <c r="E226" s="5" t="inlineStr">
        <is>
          <t>2.000,00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=HYPERLINK("https://leilaoonline.com.br/lote/detalhe/145322", "1305")</f>
      </c>
      <c r="B227" s="4" t="s">
        <f>=HYPERLINK("https://leilaoonline.com.br/lote/detalhe/145322", " MUT-048-2022 - 3 MESAS IMPACTO DE ROLOS 48POL, 4 MESA IMPACTO DE ROLOS 30POL. - LOC. NOVA LIMA/MG")</f>
      </c>
      <c r="C227" s="4" t="inlineStr">
        <is>
          <t>Não vendido</t>
        </is>
      </c>
      <c r="D227" s="4" t="inlineStr">
        <is>
          <t>22</t>
        </is>
      </c>
      <c r="E227" s="5" t="inlineStr">
        <is>
          <t>3.500,00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=HYPERLINK("https://leilaoonline.com.br/lote/detalhe/145312", "1306")</f>
      </c>
      <c r="B228" s="4" t="s">
        <f>=HYPERLINK("https://leilaoonline.com.br/lote/detalhe/145312", " MUT-049-2022 - APROX. 27 ITENS. - COROA GIRATORIA, GRADE DE GRELHA, CAMISA DE CILINDRO; E OUTROS, VEJA DESCRITIVO DE ITENS - NOVA LIMA/MG")</f>
      </c>
      <c r="C228" s="4" t="inlineStr">
        <is>
          <t>Não vendido</t>
        </is>
      </c>
      <c r="D228" s="4" t="inlineStr">
        <is>
          <t>21</t>
        </is>
      </c>
      <c r="E228" s="5" t="inlineStr">
        <is>
          <t>6.050,00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=HYPERLINK("https://leilaoonline.com.br/lote/detalhe/145308", "1307")</f>
      </c>
      <c r="B229" s="4" t="s">
        <f>=HYPERLINK("https://leilaoonline.com.br/lote/detalhe/145308", " MUT-050-2022 - APROX. 16 ITENS. - PINO CROMADO (LIE_S), KIT DE MANUTENÇÃO 2000H, MOLA DE COMPRESSÃO; E OUTROS, VEJA DESCRITIVO DE ITENS - LOC. NOVA LIMA/MG")</f>
      </c>
      <c r="C229" s="4" t="inlineStr">
        <is>
          <t>Não vendido</t>
        </is>
      </c>
      <c r="D229" s="4" t="inlineStr">
        <is>
          <t>6</t>
        </is>
      </c>
      <c r="E229" s="5" t="inlineStr">
        <is>
          <t>1.000,00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=HYPERLINK("https://leilaoonline.com.br/lote/detalhe/145311", "1308")</f>
      </c>
      <c r="B230" s="4" t="s">
        <f>=HYPERLINK("https://leilaoonline.com.br/lote/detalhe/145311", " MUT-051-2022 - APROX. 145 ITENS. - FILTRO 8X4575 CATERPILLAR, FILTRO 11356726 LIEBHERR; E OUTROS, VEJA DESCRITIVO DE ITENS. -LOC. NOVA LIMA/MG")</f>
      </c>
      <c r="C230" s="4" t="inlineStr">
        <is>
          <t>Não vendido</t>
        </is>
      </c>
      <c r="D230" s="4" t="inlineStr">
        <is>
          <t>2</t>
        </is>
      </c>
      <c r="E230" s="5" t="inlineStr">
        <is>
          <t>600,00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=HYPERLINK("https://leilaoonline.com.br/lote/detalhe/145321", "1309")</f>
      </c>
      <c r="B231" s="4" t="s">
        <f>=HYPERLINK("https://leilaoonline.com.br/lote/detalhe/145321", " MUT-052-2022 - APROX. 203 ITENS. - JUNTA VED 1497061 SCANIA, ANEL 14.00X1.78, PARAFUSO M16X50; E OUTROS, VEJA DESCRITIVO DE ITENS. - LOC. NOVA LIMA/MG")</f>
      </c>
      <c r="C231" s="4" t="inlineStr">
        <is>
          <t>Não vendido</t>
        </is>
      </c>
      <c r="D231" s="4" t="inlineStr">
        <is>
          <t>2</t>
        </is>
      </c>
      <c r="E231" s="5" t="inlineStr">
        <is>
          <t>600,00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=HYPERLINK("https://leilaoonline.com.br/lote/detalhe/145314", "1310")</f>
      </c>
      <c r="B232" s="4" t="s">
        <f>=HYPERLINK("https://leilaoonline.com.br/lote/detalhe/145314", " MUT-053-2022 - APROX. 154 ITENS. - ANEL 99,1X5,7  STD 535, RESPIRO 9T1119 CATERPILLAR, ACOPLAMENTO. E OUTROS, VEJA DESCRITIVO DE ITENS - LOC. NOVA LIMA/MG")</f>
      </c>
      <c r="C232" s="4" t="inlineStr">
        <is>
          <t>Não vendido</t>
        </is>
      </c>
      <c r="D232" s="4" t="inlineStr">
        <is>
          <t>2</t>
        </is>
      </c>
      <c r="E232" s="5" t="inlineStr">
        <is>
          <t>600,00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=HYPERLINK("https://leilaoonline.com.br/lote/detalhe/145318", "1311")</f>
      </c>
      <c r="B233" s="4" t="s">
        <f>=HYPERLINK("https://leilaoonline.com.br/lote/detalhe/145318", " MUT-054-2022 - APROX. 194 ITENS. - ANEL 1T1356 CATERPILLAR, GAXETA BORR, ANEL TRAVA SB 143. - LOC. NOVA LIMA/MG")</f>
      </c>
      <c r="C233" s="4" t="inlineStr">
        <is>
          <t>Não vendido</t>
        </is>
      </c>
      <c r="D233" s="4" t="inlineStr">
        <is>
          <t>2</t>
        </is>
      </c>
      <c r="E233" s="5" t="inlineStr">
        <is>
          <t>600,00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=HYPERLINK("https://leilaoonline.com.br/lote/detalhe/145320", "1312")</f>
      </c>
      <c r="B234" s="4" t="s">
        <f>=HYPERLINK("https://leilaoonline.com.br/lote/detalhe/145320", " MUT-055-2022 - APROX. 166 ITENS. - ARRUELA 1528185 ITAIPU, KIT VEDAÇÃO, PARAFUSO 20MM. - LOC. NOVA LIMA/MG")</f>
      </c>
      <c r="C234" s="4" t="inlineStr">
        <is>
          <t>Não vendido</t>
        </is>
      </c>
      <c r="D234" s="4" t="inlineStr">
        <is>
          <t>2</t>
        </is>
      </c>
      <c r="E234" s="5" t="inlineStr">
        <is>
          <t>600,00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=HYPERLINK("https://leilaoonline.com.br/lote/detalhe/145315", "1313")</f>
      </c>
      <c r="B235" s="4" t="s">
        <f>=HYPERLINK("https://leilaoonline.com.br/lote/detalhe/145315", " MUT-056-2022 - APROX. 253 ITENS. - FAROL 2196485 CATERPILLAR, BUCHA OLHAL, VALVULA SOLENOIDE; E OUTROS, VEJA DESCRITVO DE ITENS. -LOC. NOVA LIMA/MG")</f>
      </c>
      <c r="C235" s="4" t="inlineStr">
        <is>
          <t>Não vendido</t>
        </is>
      </c>
      <c r="D235" s="4" t="inlineStr">
        <is>
          <t>2</t>
        </is>
      </c>
      <c r="E235" s="5" t="inlineStr">
        <is>
          <t>600,00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=HYPERLINK("https://leilaoonline.com.br/lote/detalhe/145313", "1314")</f>
      </c>
      <c r="B236" s="4" t="s">
        <f>=HYPERLINK("https://leilaoonline.com.br/lote/detalhe/145313", " MUT-057-2022 - APROX. 28 ITENS. - ARRUELA LISA AC 1.5/16POL, LAMPADA INCANDESCENTE 220V E27; E OUTROS VEJA DESCRITIVO DE ITENS. - LOC. NOVA LIMA/MG")</f>
      </c>
      <c r="C236" s="4" t="inlineStr">
        <is>
          <t>Vendido</t>
        </is>
      </c>
      <c r="D236" s="4" t="inlineStr">
        <is>
          <t>2</t>
        </is>
      </c>
      <c r="E236" s="5" t="inlineStr">
        <is>
          <t>600,00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=HYPERLINK("https://leilaoonline.com.br/lote/detalhe/145309", "1315")</f>
      </c>
      <c r="B237" s="4" t="s">
        <f>=HYPERLINK("https://leilaoonline.com.br/lote/detalhe/145309", " MUT-058-2022 - APROX. 21 ITENS. - RADIADOR 2302825 CATERPILLAR, CILINDRO 3612862 CATERPILLAR; E OUTROS, VEJA DESCRITVO DE ITENS. - LOC. NOVA LIMA/MG")</f>
      </c>
      <c r="C237" s="4" t="inlineStr">
        <is>
          <t>Não vendido</t>
        </is>
      </c>
      <c r="D237" s="4" t="inlineStr">
        <is>
          <t>38</t>
        </is>
      </c>
      <c r="E237" s="5" t="inlineStr">
        <is>
          <t>7.100,00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=HYPERLINK("https://leilaoonline.com.br/lote/detalhe/145317", "1316")</f>
      </c>
      <c r="B238" s="4" t="s">
        <f>=HYPERLINK("https://leilaoonline.com.br/lote/detalhe/145317", " MUT-059-2022 - APROX. 155 ITENS. - SEGMENTO D6, WC265 - SV2 WEARCAP, ELO 7T0716 CATERPILLAR; E OUTROS, VEJA DESCRITIVO DE ITENS. -LOC. NOVA LIMA/MG")</f>
      </c>
      <c r="C238" s="4" t="inlineStr">
        <is>
          <t>Não vendido</t>
        </is>
      </c>
      <c r="D238" s="4" t="inlineStr">
        <is>
          <t>43</t>
        </is>
      </c>
      <c r="E238" s="5" t="inlineStr">
        <is>
          <t>12.500,00</t>
        </is>
      </c>
      <c r="F238" s="4" t="inlineStr">
        <is>
          <t>500.00</t>
        </is>
      </c>
    </row>
    <row collapsed="false" customFormat="false" customHeight="false" hidden="false" ht="12.1" outlineLevel="0" r="239">
      <c r="A239" s="5" t="s">
        <f>=HYPERLINK("https://leilaoonline.com.br/lote/detalhe/145328", "1317")</f>
      </c>
      <c r="B239" s="4" t="s">
        <f>=HYPERLINK("https://leilaoonline.com.br/lote/detalhe/145328", " NE-001-2022 - APROX. 306 ITENS. - FILTRO FLUIDO AR, FUSIVEL CART RETAR 250V 400A, VEDACAO PLANA; E OUTROS, VEJA DESCRITIVO DE ITENS. - LOC. NOVA LIMA/MG")</f>
      </c>
      <c r="C239" s="4" t="inlineStr">
        <is>
          <t>Vendido</t>
        </is>
      </c>
      <c r="D239" s="4" t="inlineStr">
        <is>
          <t>2</t>
        </is>
      </c>
      <c r="E239" s="5" t="inlineStr">
        <is>
          <t>600,00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=HYPERLINK("https://leilaoonline.com.br/lote/detalhe/145482", "1318")</f>
      </c>
      <c r="B240" s="4" t="s">
        <f>=HYPERLINK("https://leilaoonline.com.br/lote/detalhe/145482", " FAB-149-2022- APROX. 148 ITENS, MANGUEIRAS, BUCHAS  E OUTROS - VEJA DESCRITIVO DE ITENS - LOC.Ouro Preto/MG")</f>
      </c>
      <c r="C240" s="4" t="inlineStr">
        <is>
          <t>Não vendido</t>
        </is>
      </c>
      <c r="D240" s="4" t="inlineStr">
        <is>
          <t>10</t>
        </is>
      </c>
      <c r="E240" s="5" t="inlineStr">
        <is>
          <t>1.500,00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=HYPERLINK("https://leilaoonline.com.br/lote/detalhe/145480", "1319")</f>
      </c>
      <c r="B241" s="4" t="s">
        <f>=HYPERLINK("https://leilaoonline.com.br/lote/detalhe/145480", " FAB-150-2022- APROX. 133 ITENS, ROLAMENTOS, ROLOS  E OUTROS - VEJA DESCRITIVO DE ITENS - LOC.Ouro Preto/MG")</f>
      </c>
      <c r="C241" s="4" t="inlineStr">
        <is>
          <t>Não vendido</t>
        </is>
      </c>
      <c r="D241" s="4" t="inlineStr">
        <is>
          <t>58</t>
        </is>
      </c>
      <c r="E241" s="5" t="inlineStr">
        <is>
          <t>22.350,00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=HYPERLINK("https://leilaoonline.com.br/lote/detalhe/145475", "1320")</f>
      </c>
      <c r="B242" s="4" t="s">
        <f>=HYPERLINK("https://leilaoonline.com.br/lote/detalhe/145475", " FAB-151-2022- APROX. 281 ITENS, VALVULAS, CABOS  E OUTROS - VEJA DESCRITIVO DE ITENS - LOC.Ouro Preto/MG")</f>
      </c>
      <c r="C242" s="4" t="inlineStr">
        <is>
          <t>Não vendido</t>
        </is>
      </c>
      <c r="D242" s="4" t="inlineStr">
        <is>
          <t>41</t>
        </is>
      </c>
      <c r="E242" s="5" t="inlineStr">
        <is>
          <t>10.100,00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=HYPERLINK("https://leilaoonline.com.br/lote/detalhe/145488", "1321")</f>
      </c>
      <c r="B243" s="4" t="s">
        <f>=HYPERLINK("https://leilaoonline.com.br/lote/detalhe/145488", " FAB-152-2022- APROX. 481,05 MTS CORDOALHA;MATERIAL COBRE;TRATA;- IVELISE, 20 FIXADOR 2337150 CATERPILLAR,    - LOC.Ouro Preto/MG")</f>
      </c>
      <c r="C243" s="4" t="inlineStr">
        <is>
          <t>Vendido</t>
        </is>
      </c>
      <c r="D243" s="4" t="inlineStr">
        <is>
          <t>13</t>
        </is>
      </c>
      <c r="E243" s="5" t="inlineStr">
        <is>
          <t>2.200,00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=HYPERLINK("https://leilaoonline.com.br/lote/detalhe/145487", "1322")</f>
      </c>
      <c r="B244" s="4" t="s">
        <f>=HYPERLINK("https://leilaoonline.com.br/lote/detalhe/145487", " OIA-020-2022 - APROX. 1.108 ITENS, BUCHAS , ROLAMENTOS  E OUTROS - VEJA DESCRITIVO DE ITENS- Ourilândia do Norte - PA")</f>
      </c>
      <c r="C244" s="4" t="inlineStr">
        <is>
          <t>Não vendido</t>
        </is>
      </c>
      <c r="D244" s="4" t="inlineStr">
        <is>
          <t>9</t>
        </is>
      </c>
      <c r="E244" s="5" t="inlineStr">
        <is>
          <t>3.200,00</t>
        </is>
      </c>
      <c r="F244" s="4" t="inlineStr">
        <is>
          <t>250.00</t>
        </is>
      </c>
    </row>
    <row collapsed="false" customFormat="false" customHeight="false" hidden="false" ht="12.1" outlineLevel="0" r="245">
      <c r="A245" s="5" t="s">
        <f>=HYPERLINK("https://leilaoonline.com.br/lote/detalhe/145485", "1323")</f>
      </c>
      <c r="B245" s="4" t="s">
        <f>=HYPERLINK("https://leilaoonline.com.br/lote/detalhe/145485", " OIA-025-2022 - APROX. 393 ITENS, TRANSMISSORES, TERMOSTATOS  E OUTROS - VEJA DESCRITIVO DE ITENS- Ourilândia do Norte - PA")</f>
      </c>
      <c r="C245" s="4" t="inlineStr">
        <is>
          <t>Vendido</t>
        </is>
      </c>
      <c r="D245" s="4" t="inlineStr">
        <is>
          <t>9</t>
        </is>
      </c>
      <c r="E245" s="5" t="inlineStr">
        <is>
          <t>2.000,00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=HYPERLINK("https://leilaoonline.com.br/lote/detalhe/145479", "1324")</f>
      </c>
      <c r="B246" s="4" t="s">
        <f>=HYPERLINK("https://leilaoonline.com.br/lote/detalhe/145479", " OIA-030-2022 - APROX. 137 ITENS, CAPAS, VALVULAS  E OUTROS - VEJA DESCRITIVO DE ITENS- Ourilândia do Norte - PA")</f>
      </c>
      <c r="C246" s="4" t="inlineStr">
        <is>
          <t>Não vendido</t>
        </is>
      </c>
      <c r="D246" s="4" t="inlineStr">
        <is>
          <t>1</t>
        </is>
      </c>
      <c r="E246" s="5" t="inlineStr">
        <is>
          <t>500,00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=HYPERLINK("https://leilaoonline.com.br/lote/detalhe/145484", "1325")</f>
      </c>
      <c r="B247" s="4" t="s">
        <f>=HYPERLINK("https://leilaoonline.com.br/lote/detalhe/145484", " OIA-031-2022 - APROX. 69 ITENS, TUBOS, SECADOR  E OUTROS - VEJA DESCRITIVO DE ITENS- Ourilândia do Norte - PA")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500,00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=HYPERLINK("https://leilaoonline.com.br/lote/detalhe/145478", "1326")</f>
      </c>
      <c r="B248" s="4" t="s">
        <f>=HYPERLINK("https://leilaoonline.com.br/lote/detalhe/145478", " OIA-032-2022 - APROX. 179 ITENS, GAXETA, RESERVATORIOS  E OUTROS - VEJA DESCRITIVO DE ITENS- Ourilândia do Norte - PA")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500,00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=HYPERLINK("https://leilaoonline.com.br/lote/detalhe/145493", "1327")</f>
      </c>
      <c r="B249" s="4" t="s">
        <f>=HYPERLINK("https://leilaoonline.com.br/lote/detalhe/145493", " OIA-040-2022 - APROX. 223 ITENS, HORIMETRO, BUCHA COMPONENTE  E OUTROS - VEJA DESCRITIVO DE ITENS- Ourilândia do Norte - PA")</f>
      </c>
      <c r="C249" s="4" t="inlineStr">
        <is>
          <t>Não vendido</t>
        </is>
      </c>
      <c r="D249" s="4" t="inlineStr">
        <is>
          <t>93</t>
        </is>
      </c>
      <c r="E249" s="5" t="inlineStr">
        <is>
          <t>30.900,00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=HYPERLINK("https://leilaoonline.com.br/lote/detalhe/145486", "1328")</f>
      </c>
      <c r="B250" s="4" t="s">
        <f>=HYPERLINK("https://leilaoonline.com.br/lote/detalhe/145486", " OIA-041-2022 - APROX. 463 ITENS, PARAFUSOS, DISJUNTORES  E OUTROS - VEJA DESCRITIVO DE ITENS- Ourilândia do Norte - PA")</f>
      </c>
      <c r="C250" s="4" t="inlineStr">
        <is>
          <t>Vendido</t>
        </is>
      </c>
      <c r="D250" s="4" t="inlineStr">
        <is>
          <t>18</t>
        </is>
      </c>
      <c r="E250" s="5" t="inlineStr">
        <is>
          <t>5.750,00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=HYPERLINK("https://leilaoonline.com.br/lote/detalhe/145483", "1329")</f>
      </c>
      <c r="B251" s="4" t="s">
        <f>=HYPERLINK("https://leilaoonline.com.br/lote/detalhe/145483", " OIA-042-2022 - APROX.59 ITENS, COLMEIA, MODULOS E OUTROS - VEJA DESCRITIVO DE ITENS- Ourilândia do Norte - PA")</f>
      </c>
      <c r="C251" s="4" t="inlineStr">
        <is>
          <t>Não vendido</t>
        </is>
      </c>
      <c r="D251" s="4" t="inlineStr">
        <is>
          <t>9</t>
        </is>
      </c>
      <c r="E251" s="5" t="inlineStr">
        <is>
          <t>1.500,00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=HYPERLINK("https://leilaoonline.com.br/lote/detalhe/145489", "1330")</f>
      </c>
      <c r="B252" s="4" t="s">
        <f>=HYPERLINK("https://leilaoonline.com.br/lote/detalhe/145489", " OIA-043-2022 - APROX. 422 ITENS, PARAFUSOS, DISJUNTORES  E OUTROS - VEJA DESCRITIVO DE ITENS- Ourilândia do Norte - PA")</f>
      </c>
      <c r="C252" s="4" t="inlineStr">
        <is>
          <t>Não vendido</t>
        </is>
      </c>
      <c r="D252" s="4" t="inlineStr">
        <is>
          <t>12</t>
        </is>
      </c>
      <c r="E252" s="5" t="inlineStr">
        <is>
          <t>2.100,00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=HYPERLINK("https://leilaoonline.com.br/lote/detalhe/145474", "1331")</f>
      </c>
      <c r="B253" s="4" t="s">
        <f>=HYPERLINK("https://leilaoonline.com.br/lote/detalhe/145474", " OIA-044-2022 - APROX. 114 ITENS, ANEIS, TRANSFORMADORES  E OUTROS - VEJA DESCRITIVO DE ITENS- Ourilândia do Norte - PA")</f>
      </c>
      <c r="C253" s="4" t="inlineStr">
        <is>
          <t>Não vendido</t>
        </is>
      </c>
      <c r="D253" s="4" t="inlineStr">
        <is>
          <t>3</t>
        </is>
      </c>
      <c r="E253" s="5" t="inlineStr">
        <is>
          <t>1.500,00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=HYPERLINK("https://leilaoonline.com.br/lote/detalhe/145477", "1332")</f>
      </c>
      <c r="B254" s="4" t="s">
        <f>=HYPERLINK("https://leilaoonline.com.br/lote/detalhe/145477", " OIA-045-2022 - APROX. 81 ITENS, ROLETES, TAMPAS  E OUTROS - VEJA DESCRITIVO DE ITENS- Ourilândia do Norte - PA")</f>
      </c>
      <c r="C254" s="4" t="inlineStr">
        <is>
          <t>Vendido</t>
        </is>
      </c>
      <c r="D254" s="4" t="inlineStr">
        <is>
          <t>55</t>
        </is>
      </c>
      <c r="E254" s="5" t="inlineStr">
        <is>
          <t>13.400,00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=HYPERLINK("https://leilaoonline.com.br/lote/detalhe/145490", "1333")</f>
      </c>
      <c r="B255" s="4" t="s">
        <f>=HYPERLINK("https://leilaoonline.com.br/lote/detalhe/145490", " OIA-046-2022 - APROX. 31 ITENS, CILINDROS, LAMINAS E OUTROS - VEJA DESCRITIVO DE ITENS- Ourilândia do Norte - PA")</f>
      </c>
      <c r="C255" s="4" t="inlineStr">
        <is>
          <t>Não vendido</t>
        </is>
      </c>
      <c r="D255" s="4" t="inlineStr">
        <is>
          <t>18</t>
        </is>
      </c>
      <c r="E255" s="5" t="inlineStr">
        <is>
          <t>4.400,00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=HYPERLINK("https://leilaoonline.com.br/lote/detalhe/145481", "1334")</f>
      </c>
      <c r="B256" s="4" t="s">
        <f>=HYPERLINK("https://leilaoonline.com.br/lote/detalhe/145481", " PIC-328-2022 - APROX. 823 ITENS. - PARAFUSO FIX G126M WEIR, CAIXA ROLAM FOFO 125MM, DISJUNTOR 40A; E OUTROS, VEJA DESCRITIVO DE ITENS. - LOC. ITABIRITO/MG")</f>
      </c>
      <c r="C256" s="4" t="inlineStr">
        <is>
          <t>Não vendido</t>
        </is>
      </c>
      <c r="D256" s="4" t="inlineStr">
        <is>
          <t>8</t>
        </is>
      </c>
      <c r="E256" s="5" t="inlineStr">
        <is>
          <t>2.000,00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=HYPERLINK("https://leilaoonline.com.br/lote/detalhe/145491", "1335")</f>
      </c>
      <c r="B257" s="4" t="s">
        <f>=HYPERLINK("https://leilaoonline.com.br/lote/detalhe/145491", " PIC-356-2022 - APROX. 4 ITENS. - MAQUINA SOLDA TRR, SERRA FITA HORIZONTAL/ SERRA FRANHO; E OUTROS, VEJA DESCRITIVO DE ITENS. - LOC. ITABIRITO/MG")</f>
      </c>
      <c r="C257" s="4" t="inlineStr">
        <is>
          <t>Vendido</t>
        </is>
      </c>
      <c r="D257" s="4" t="inlineStr">
        <is>
          <t>51</t>
        </is>
      </c>
      <c r="E257" s="5" t="inlineStr">
        <is>
          <t>11.500,00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=HYPERLINK("https://leilaoonline.com.br/lote/detalhe/145492", "1336")</f>
      </c>
      <c r="B258" s="4" t="s">
        <f>=HYPERLINK("https://leilaoonline.com.br/lote/detalhe/145492", " PIC-361-2022 - APROX. 4 ITENS. - BOMBA PERISTALTICA, TALHA ELETRICA 5T MANUT FILTRO PRENSA; E OUTROS, VEJA DESCRITIVO DE ITENS. - LOC. ITABIRITO/MG")</f>
      </c>
      <c r="C258" s="4" t="inlineStr">
        <is>
          <t>Vendido</t>
        </is>
      </c>
      <c r="D258" s="4" t="inlineStr">
        <is>
          <t>93</t>
        </is>
      </c>
      <c r="E258" s="5" t="inlineStr">
        <is>
          <t>36.200,00</t>
        </is>
      </c>
      <c r="F258" s="4" t="inlineStr">
        <is>
          <t>1000.00</t>
        </is>
      </c>
    </row>
    <row collapsed="false" customFormat="false" customHeight="false" hidden="false" ht="12.1" outlineLevel="0" r="259">
      <c r="A259" s="5" t="s">
        <f>=HYPERLINK("https://leilaoonline.com.br/lote/detalhe/145476", "1337")</f>
      </c>
      <c r="B259" s="4" t="s">
        <f>=HYPERLINK("https://leilaoonline.com.br/lote/detalhe/145476", " PIC-379-2022 - APROX. 83 ITENS. - TUBO 3429961 CATERPILLAR, ROTULA (CAT_P), PRISIONEIRO DA RODA; E OUTROS, VEJA DESCRITIVO DE ITENS. - LOC. ITABIRITO/MG")</f>
      </c>
      <c r="C259" s="4" t="inlineStr">
        <is>
          <t>Não vendido</t>
        </is>
      </c>
      <c r="D259" s="4" t="inlineStr">
        <is>
          <t>3</t>
        </is>
      </c>
      <c r="E259" s="5" t="inlineStr">
        <is>
          <t>700,00</t>
        </is>
      </c>
      <c r="F259" s="4" t="inlineStr">
        <is>
          <t>100.00</t>
        </is>
      </c>
    </row>
    <row collapsed="false" customFormat="false" customHeight="false" hidden="false" ht="12.1" outlineLevel="0" r="260">
      <c r="A260" s="5" t="s">
        <f>=HYPERLINK("https://leilaoonline.com.br/lote/detalhe/145494", "1338")</f>
      </c>
      <c r="B260" s="4" t="s">
        <f>=HYPERLINK("https://leilaoonline.com.br/lote/detalhe/145494", " PIC-384-2022 - APROX. 295 ITENS. - MANGUEIRA 2124544 SCANIA, PARAFUSO CAB SEXT, EIXO 1445778 SCANIA; E OUTROS, VEJA DESCRITIVO DE ITENS. - LOC. ITABIRITO/MG")</f>
      </c>
      <c r="C260" s="4" t="inlineStr">
        <is>
          <t>Não vendido</t>
        </is>
      </c>
      <c r="D260" s="4" t="inlineStr">
        <is>
          <t>4</t>
        </is>
      </c>
      <c r="E260" s="5" t="inlineStr">
        <is>
          <t>800,00</t>
        </is>
      </c>
      <c r="F260" s="4" t="inlineStr">
        <is>
          <t>100.00</t>
        </is>
      </c>
    </row>
    <row collapsed="false" customFormat="false" customHeight="false" hidden="false" ht="12.1" outlineLevel="0" r="261">
      <c r="A261" s="5" t="s">
        <f>=HYPERLINK("https://leilaoonline.com.br/lote/detalhe/145495", "1339")</f>
      </c>
      <c r="B261" s="4" t="s">
        <f>=HYPERLINK("https://leilaoonline.com.br/lote/detalhe/145495", " PIC-385-2022 - APROX. 168 ITENS. - POLIA V 200MM 6CAN SPB, ARRUELA, ANEL 1345279 SCANIA; E OUTROS, VEJA DESCRITIVO DE ITENS. - LOC. ITABIRITO/MG")</f>
      </c>
      <c r="C261" s="4" t="inlineStr">
        <is>
          <t>Não vendido</t>
        </is>
      </c>
      <c r="D261" s="4" t="inlineStr">
        <is>
          <t>2</t>
        </is>
      </c>
      <c r="E261" s="5" t="inlineStr">
        <is>
          <t>600,00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=HYPERLINK("https://leilaoonline.com.br/lote/detalhe/145616", "1340")</f>
      </c>
      <c r="B262" s="4" t="s">
        <f>=HYPERLINK("https://leilaoonline.com.br/lote/detalhe/145616", " PIC-386-2022 - APROX. 223 ITENS. - ANEL 1711391 CATERPILLAR, FIXADOR 4W0531 CATERPILLAR, VEDACAO PLANA; E OUTROS, VEJA DESCRITIVO DE ITENS. - LOC. - ITABIRITO/MG")</f>
      </c>
      <c r="C262" s="4" t="inlineStr">
        <is>
          <t>Não vendido</t>
        </is>
      </c>
      <c r="D262" s="4" t="inlineStr">
        <is>
          <t>3</t>
        </is>
      </c>
      <c r="E262" s="5" t="inlineStr">
        <is>
          <t>700,00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=HYPERLINK("https://leilaoonline.com.br/lote/detalhe/145619", "1341")</f>
      </c>
      <c r="B263" s="4" t="s">
        <f>=HYPERLINK("https://leilaoonline.com.br/lote/detalhe/145619", " PIC-390-2022 - APROX. 173 ITENS. - RETENTOR VED PU 92MM 114MM, CHAPA 1357522 SCANIA, PORCA AUTOTRAVANTE; E OUTROS, VEJA DESCRITIVO DE ITENS. - LOC. ITABIRITO/MG")</f>
      </c>
      <c r="C263" s="4" t="inlineStr">
        <is>
          <t>Não vendido</t>
        </is>
      </c>
      <c r="D263" s="4" t="inlineStr">
        <is>
          <t>3</t>
        </is>
      </c>
      <c r="E263" s="5" t="inlineStr">
        <is>
          <t>700,00</t>
        </is>
      </c>
      <c r="F263" s="4" t="inlineStr">
        <is>
          <t>100.00</t>
        </is>
      </c>
    </row>
    <row collapsed="false" customFormat="false" customHeight="false" hidden="false" ht="12.1" outlineLevel="0" r="264">
      <c r="A264" s="5" t="s">
        <f>=HYPERLINK("https://leilaoonline.com.br/lote/detalhe/145611", "1342")</f>
      </c>
      <c r="B264" s="4" t="s">
        <f>=HYPERLINK("https://leilaoonline.com.br/lote/detalhe/145611", " PIC-391-2022 - APROX. 206 ITENS. - LUVA 7N5656 CATERPILLAR, JUNTA 7E6016 CATERPILLAR, RETENTOR VED PU 63,5MM; E OUTROS, VEJA DESCRITIVO DE ITENS. - LOC. ITABIRITO/MG")</f>
      </c>
      <c r="C264" s="4" t="inlineStr">
        <is>
          <t>Não vendido</t>
        </is>
      </c>
      <c r="D264" s="4" t="inlineStr">
        <is>
          <t>3</t>
        </is>
      </c>
      <c r="E264" s="5" t="inlineStr">
        <is>
          <t>700,00</t>
        </is>
      </c>
      <c r="F264" s="4" t="inlineStr">
        <is>
          <t>100.00</t>
        </is>
      </c>
    </row>
    <row collapsed="false" customFormat="false" customHeight="false" hidden="false" ht="12.1" outlineLevel="0" r="265">
      <c r="A265" s="5" t="s">
        <f>=HYPERLINK("https://leilaoonline.com.br/lote/detalhe/145607", "1343")</f>
      </c>
      <c r="B265" s="4" t="s">
        <f>=HYPERLINK("https://leilaoonline.com.br/lote/detalhe/145607", " PIC-393-2022 - APROX. 165 ITENS. - ANEL VED 6V2662 CATERPILLAR, PARAFUSO 8T0667 CATERPILLAR, PLACA 7U3307 CATERPILLAR; E OUTROS, VEJA DESCRITIVO DE ITENS. - LOC. ITABIRITO/MG")</f>
      </c>
      <c r="C265" s="4" t="inlineStr">
        <is>
          <t>Não vendido</t>
        </is>
      </c>
      <c r="D265" s="4" t="inlineStr">
        <is>
          <t>3</t>
        </is>
      </c>
      <c r="E265" s="5" t="inlineStr">
        <is>
          <t>700,00</t>
        </is>
      </c>
      <c r="F265" s="4" t="inlineStr">
        <is>
          <t>100.00</t>
        </is>
      </c>
    </row>
    <row collapsed="false" customFormat="false" customHeight="false" hidden="false" ht="12.1" outlineLevel="0" r="266">
      <c r="A266" s="5" t="s">
        <f>=HYPERLINK("https://leilaoonline.com.br/lote/detalhe/145612", "1344")</f>
      </c>
      <c r="B266" s="4" t="s">
        <f>=HYPERLINK("https://leilaoonline.com.br/lote/detalhe/145612", " PIC-395-2022 - APROX. 143 ITENS. - PINO 2G8611 CATERPILLAR, CONEX 6K1972 CATERPILLAR, CLIPE 8T1897 CATERPILLAR; E OUTROS, VEJA DESCRITIVO DE ITENS. - LOC. ITABIRITO/MG")</f>
      </c>
      <c r="C266" s="4" t="inlineStr">
        <is>
          <t>Não vendido</t>
        </is>
      </c>
      <c r="D266" s="4" t="inlineStr">
        <is>
          <t>3</t>
        </is>
      </c>
      <c r="E266" s="5" t="inlineStr">
        <is>
          <t>700,00</t>
        </is>
      </c>
      <c r="F266" s="4" t="inlineStr">
        <is>
          <t>100.00</t>
        </is>
      </c>
    </row>
    <row collapsed="false" customFormat="false" customHeight="false" hidden="false" ht="12.1" outlineLevel="0" r="267">
      <c r="A267" s="5" t="s">
        <f>=HYPERLINK("https://leilaoonline.com.br/lote/detalhe/145606", "1345")</f>
      </c>
      <c r="B267" s="4" t="s">
        <f>=HYPERLINK("https://leilaoonline.com.br/lote/detalhe/145606", " PIC-396-2022 - APROX. 123 ITENS. - POLIA 1004019 CATERPILLAR, PLACA 1266008 CATERPILLAR, ROLETE 1753479 SCANIA; E OUTROS, VEJA DESCRITIVO DE ITENS. - LOC. ITABIRITO/MG")</f>
      </c>
      <c r="C267" s="4" t="inlineStr">
        <is>
          <t>Não vendido</t>
        </is>
      </c>
      <c r="D267" s="4" t="inlineStr">
        <is>
          <t>3</t>
        </is>
      </c>
      <c r="E267" s="5" t="inlineStr">
        <is>
          <t>700,00</t>
        </is>
      </c>
      <c r="F267" s="4" t="inlineStr">
        <is>
          <t>100.00</t>
        </is>
      </c>
    </row>
    <row collapsed="false" customFormat="false" customHeight="false" hidden="false" ht="12.1" outlineLevel="0" r="268">
      <c r="A268" s="5" t="s">
        <f>=HYPERLINK("https://leilaoonline.com.br/lote/detalhe/145618", "1346")</f>
      </c>
      <c r="B268" s="4" t="s">
        <f>=HYPERLINK("https://leilaoonline.com.br/lote/detalhe/145618", " PIC-397-2022 - APROX. 182 ITENS. - PORCA 1535592 CATERPILLAR, ARRUELA 413852 SCANIA, JUNTA 2P3230 CATERPILLAR; E OUTROS, VEJA DESCRITIVO DE ITENS. - LOC. ITABIRITO/MG")</f>
      </c>
      <c r="C268" s="4" t="inlineStr">
        <is>
          <t>Não vendido</t>
        </is>
      </c>
      <c r="D268" s="4" t="inlineStr">
        <is>
          <t>3</t>
        </is>
      </c>
      <c r="E268" s="5" t="inlineStr">
        <is>
          <t>700,00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=HYPERLINK("https://leilaoonline.com.br/lote/detalhe/145614", "1347")</f>
      </c>
      <c r="B269" s="4" t="s">
        <f>=HYPERLINK("https://leilaoonline.com.br/lote/detalhe/145614", " PIC-402-2022 - APROX. 35 ITENS. - MANGUEIRA 1776891 CATERPILLAR, RESPIRO 4W3027 CATERPILLAR, CONEX 1242109 CATERPILLAR; E OUTROS, VEJA DESCRITIVO DE ITENS. - LOC. ITABIRITO/MG")</f>
      </c>
      <c r="C269" s="4" t="inlineStr">
        <is>
          <t>Não vendido</t>
        </is>
      </c>
      <c r="D269" s="4" t="inlineStr">
        <is>
          <t>2</t>
        </is>
      </c>
      <c r="E269" s="5" t="inlineStr">
        <is>
          <t>600,00</t>
        </is>
      </c>
      <c r="F269" s="4" t="inlineStr">
        <is>
          <t>100.00</t>
        </is>
      </c>
    </row>
    <row collapsed="false" customFormat="false" customHeight="false" hidden="false" ht="12.1" outlineLevel="0" r="270">
      <c r="A270" s="5" t="s">
        <f>=HYPERLINK("https://leilaoonline.com.br/lote/detalhe/145617", "1348")</f>
      </c>
      <c r="B270" s="4" t="s">
        <f>=HYPERLINK("https://leilaoonline.com.br/lote/detalhe/145617", " PIC-404-2022 - APROX. 27 ITENS. - ELEMENTO 9U6983 CATERPILLAR, MANGUEIRA 2824448 CATERPILLAR, FILTRO FLUID HIDR; E OUTROS, VEJA DESCRITIVO DE ITENS. - LOC. ITABIRITO/MG")</f>
      </c>
      <c r="C270" s="4" t="inlineStr">
        <is>
          <t>Não vendido</t>
        </is>
      </c>
      <c r="D270" s="4" t="inlineStr">
        <is>
          <t>2</t>
        </is>
      </c>
      <c r="E270" s="5" t="inlineStr">
        <is>
          <t>600,00</t>
        </is>
      </c>
      <c r="F270" s="4" t="inlineStr">
        <is>
          <t>100.00</t>
        </is>
      </c>
    </row>
    <row collapsed="false" customFormat="false" customHeight="false" hidden="false" ht="12.1" outlineLevel="0" r="271">
      <c r="A271" s="5" t="s">
        <f>=HYPERLINK("https://leilaoonline.com.br/lote/detalhe/145620", "1349")</f>
      </c>
      <c r="B271" s="4" t="s">
        <f>=HYPERLINK("https://leilaoonline.com.br/lote/detalhe/145620", " PIC-405-2022 - APROX. 146 ITENS. - ABRACAD 1782741 SCANIA, TUBO 2592456 CATERPILLAR, JUNTA 3008400 CUMMINS; E OUTROS, VEJA DESCRITIVO DE ITENS. - LOC. ITABIRITO/MG")</f>
      </c>
      <c r="C271" s="4" t="inlineStr">
        <is>
          <t>Não vendido</t>
        </is>
      </c>
      <c r="D271" s="4" t="inlineStr">
        <is>
          <t>12</t>
        </is>
      </c>
      <c r="E271" s="5" t="inlineStr">
        <is>
          <t>2.900,00</t>
        </is>
      </c>
      <c r="F271" s="4" t="inlineStr">
        <is>
          <t>200.00</t>
        </is>
      </c>
    </row>
    <row collapsed="false" customFormat="false" customHeight="false" hidden="false" ht="12.1" outlineLevel="0" r="272">
      <c r="A272" s="5" t="s">
        <f>=HYPERLINK("https://leilaoonline.com.br/lote/detalhe/145610", "1350")</f>
      </c>
      <c r="B272" s="4" t="s">
        <f>=HYPERLINK("https://leilaoonline.com.br/lote/detalhe/145610", " PIC-406-2022 - APROX. 207 ITENS. - MOTOR HIDR 4243893 LETOURNEAU, INTERRUP 1701313 CATERPILLAR, LUVA 3S7166 CATERPILLAR; E OUTROS, VEJA DESCRITIVO DE ITENS. - LOC. ITABIRITO/MG")</f>
      </c>
      <c r="C272" s="4" t="inlineStr">
        <is>
          <t>Não vendido</t>
        </is>
      </c>
      <c r="D272" s="4" t="inlineStr">
        <is>
          <t>15</t>
        </is>
      </c>
      <c r="E272" s="5" t="inlineStr">
        <is>
          <t>2.300,00</t>
        </is>
      </c>
      <c r="F272" s="4" t="inlineStr">
        <is>
          <t>200.00</t>
        </is>
      </c>
    </row>
    <row collapsed="false" customFormat="false" customHeight="false" hidden="false" ht="12.1" outlineLevel="0" r="273">
      <c r="A273" s="5" t="s">
        <f>=HYPERLINK("https://leilaoonline.com.br/lote/detalhe/145608", "1351")</f>
      </c>
      <c r="B273" s="4" t="s">
        <f>=HYPERLINK("https://leilaoonline.com.br/lote/detalhe/145608", " PIC-407-2022 - APROX. 37 ITENS. - FILTRO 3434464 CATERPILLAR, PARAFUSO 1V8947 CATERPILLAR, SUPORTE CARGA 4E0078 CAT. E OUTROS, VEJA DESCRITIVO DE ITENS. - LOC. ITABIRITO/MG")</f>
      </c>
      <c r="C273" s="4" t="inlineStr">
        <is>
          <t>Não vendido</t>
        </is>
      </c>
      <c r="D273" s="4" t="inlineStr">
        <is>
          <t>5</t>
        </is>
      </c>
      <c r="E273" s="5" t="inlineStr">
        <is>
          <t>900,00</t>
        </is>
      </c>
      <c r="F273" s="4" t="inlineStr">
        <is>
          <t>100.00</t>
        </is>
      </c>
    </row>
    <row collapsed="false" customFormat="false" customHeight="false" hidden="false" ht="12.1" outlineLevel="0" r="274">
      <c r="A274" s="5" t="s">
        <f>=HYPERLINK("https://leilaoonline.com.br/lote/detalhe/145609", "1352")</f>
      </c>
      <c r="B274" s="4" t="s">
        <f>=HYPERLINK("https://leilaoonline.com.br/lote/detalhe/145609", " PIC-408-2022 - APROX. 5 ITENS. - CAPO 1630932 CATERPILLAR, VID 214-1802 CATERPILLAR 2141802 CATERPILLAR; E OUTROS, VEJA DESCRITO DE ITENS. - LOC. ITABIRITO/MG")</f>
      </c>
      <c r="C274" s="4" t="inlineStr">
        <is>
          <t>Não vendido</t>
        </is>
      </c>
      <c r="D274" s="4" t="inlineStr">
        <is>
          <t>3</t>
        </is>
      </c>
      <c r="E274" s="5" t="inlineStr">
        <is>
          <t>700,00</t>
        </is>
      </c>
      <c r="F274" s="4" t="inlineStr">
        <is>
          <t>100.00</t>
        </is>
      </c>
    </row>
    <row collapsed="false" customFormat="false" customHeight="false" hidden="false" ht="12.1" outlineLevel="0" r="275">
      <c r="A275" s="5" t="s">
        <f>=HYPERLINK("https://leilaoonline.com.br/lote/detalhe/145621", "1353")</f>
      </c>
      <c r="B275" s="4" t="s">
        <f>=HYPERLINK("https://leilaoonline.com.br/lote/detalhe/145621", " PIC-409-2022 - APROX. 73 ITENS - PROTETOR, BASE, ADAPTADOR E OUTROS - VEJA DESCRITIVO DE ITENS - LOC. ITABIRITO/MG")</f>
      </c>
      <c r="C275" s="4" t="inlineStr">
        <is>
          <t>Não vendido</t>
        </is>
      </c>
      <c r="D275" s="4" t="inlineStr">
        <is>
          <t>3</t>
        </is>
      </c>
      <c r="E275" s="5" t="inlineStr">
        <is>
          <t>700,00</t>
        </is>
      </c>
      <c r="F275" s="4" t="inlineStr">
        <is>
          <t>100.00</t>
        </is>
      </c>
    </row>
    <row collapsed="false" customFormat="false" customHeight="false" hidden="false" ht="12.1" outlineLevel="0" r="276">
      <c r="A276" s="5" t="s">
        <f>=HYPERLINK("https://leilaoonline.com.br/lote/detalhe/145613", "1354")</f>
      </c>
      <c r="B276" s="4" t="s">
        <f>=HYPERLINK("https://leilaoonline.com.br/lote/detalhe/145613", " PIC-411-2022 - APROX. 80 ITENS. - CONEX 1242029 CATERPILLAR, JUNTA 1786920 CATERPILLAR, CILIN 2837755 CATERPILLAR; E OUTROS, VEJA DESCRITIVO DE ITENS. - LOC. ITABIRITO/MG")</f>
      </c>
      <c r="C276" s="4" t="inlineStr">
        <is>
          <t>Não vendido</t>
        </is>
      </c>
      <c r="D276" s="4" t="inlineStr">
        <is>
          <t>15</t>
        </is>
      </c>
      <c r="E276" s="5" t="inlineStr">
        <is>
          <t>2.300,00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=HYPERLINK("https://leilaoonline.com.br/lote/detalhe/145615", "1355")</f>
      </c>
      <c r="B277" s="4" t="s">
        <f>=HYPERLINK("https://leilaoonline.com.br/lote/detalhe/145615", " PIC-412-2022 - APROX. 434 ITENS. - ESPACDR 6K6444 CATERPILLAR, ANEL 8T7692 CATERPILLAR,  RETENTOR VED NBR 144,4MM; E OUTROS, VEJA DESCRITIVO DE ITENS. - LOC. ITABIRITO/MG")</f>
      </c>
      <c r="C277" s="4" t="inlineStr">
        <is>
          <t>Não vendido</t>
        </is>
      </c>
      <c r="D277" s="4" t="inlineStr">
        <is>
          <t>3</t>
        </is>
      </c>
      <c r="E277" s="5" t="inlineStr">
        <is>
          <t>700,00</t>
        </is>
      </c>
      <c r="F277" s="4" t="inlineStr">
        <is>
          <t>100.00</t>
        </is>
      </c>
    </row>
    <row collapsed="false" customFormat="false" customHeight="false" hidden="false" ht="12.1" outlineLevel="0" r="278">
      <c r="A278" s="5" t="s">
        <f>=HYPERLINK("https://leilaoonline.com.br/lote/detalhe/145635", "1356")</f>
      </c>
      <c r="B278" s="4" t="s">
        <f>=HYPERLINK("https://leilaoonline.com.br/lote/detalhe/145635", " SLS-EQ-027-2022. - BEBEDOURO DE GARRAFAO BRANCO 220V. - LOC. SÃO LUIS/MA")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500,00</t>
        </is>
      </c>
      <c r="F278" s="4" t="inlineStr">
        <is>
          <t>100.00</t>
        </is>
      </c>
    </row>
    <row collapsed="false" customFormat="false" customHeight="false" hidden="false" ht="12.1" outlineLevel="0" r="279">
      <c r="A279" s="5" t="s">
        <f>=HYPERLINK("https://leilaoonline.com.br/lote/detalhe/145638", "1357")</f>
      </c>
      <c r="B279" s="4" t="s">
        <f>=HYPERLINK("https://leilaoonline.com.br/lote/detalhe/145638", " SLS-EQ-030-2022. - 2 NOTEBOOK'S; HP PAVILION 14; HP. - LOC. SÃO LUIS/MA")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500,00</t>
        </is>
      </c>
      <c r="F279" s="4" t="inlineStr">
        <is>
          <t>100.00</t>
        </is>
      </c>
    </row>
    <row collapsed="false" customFormat="false" customHeight="false" hidden="false" ht="12.1" outlineLevel="0" r="280">
      <c r="A280" s="5" t="s">
        <f>=HYPERLINK("https://leilaoonline.com.br/lote/detalhe/145648", "1358")</f>
      </c>
      <c r="B280" s="4" t="s">
        <f>=HYPERLINK("https://leilaoonline.com.br/lote/detalhe/145648", " SLS-MRO-009-2022. - APROX. 415.536 MASCARAS RESPIRADORAS TECIDO U. - LOC. SÃO LUIS/MA")</f>
      </c>
      <c r="C280" s="4" t="inlineStr">
        <is>
          <t>Não vendido</t>
        </is>
      </c>
      <c r="D280" s="4" t="inlineStr">
        <is>
          <t>3</t>
        </is>
      </c>
      <c r="E280" s="5" t="inlineStr">
        <is>
          <t>700,00</t>
        </is>
      </c>
      <c r="F280" s="4" t="inlineStr">
        <is>
          <t>100.00</t>
        </is>
      </c>
    </row>
    <row collapsed="false" customFormat="false" customHeight="false" hidden="false" ht="12.1" outlineLevel="0" r="281">
      <c r="A281" s="5" t="s">
        <f>=HYPERLINK("https://leilaoonline.com.br/lote/detalhe/145641", "1359")</f>
      </c>
      <c r="B281" s="4" t="s">
        <f>=HYPERLINK("https://leilaoonline.com.br/lote/detalhe/145641", " SLS-MRO-031-2022. - APROX. 399 ITENS. - ANEL 41A239330P1 GENERAL ELECTRIC, ROLAMENTO ESFERAS 6311 SKF, ENGRENAGEM 40035909 SANED; E OUTROS, VEJA DESCRITIVO DE ITENS. - LOC. SÃO LUIS/A")</f>
      </c>
      <c r="C281" s="4" t="inlineStr">
        <is>
          <t>Vendido</t>
        </is>
      </c>
      <c r="D281" s="4" t="inlineStr">
        <is>
          <t>2</t>
        </is>
      </c>
      <c r="E281" s="5" t="inlineStr">
        <is>
          <t>761,00</t>
        </is>
      </c>
      <c r="F281" s="4" t="inlineStr">
        <is>
          <t>100.00</t>
        </is>
      </c>
    </row>
    <row collapsed="false" customFormat="false" customHeight="false" hidden="false" ht="12.1" outlineLevel="0" r="282">
      <c r="A282" s="5" t="s">
        <f>=HYPERLINK("https://leilaoonline.com.br/lote/detalhe/145639", "1360")</f>
      </c>
      <c r="B282" s="4" t="s">
        <f>=HYPERLINK("https://leilaoonline.com.br/lote/detalhe/145639", " SLS-MRO-033-2022. - APROX. 595 ITENS. - ANEL O 68MM 4MM, VALVULA SEG 3/4POL, ARRUELA 12MM 21,1MM. - LOC. SÃO LUIS/MA")</f>
      </c>
      <c r="C282" s="4" t="inlineStr">
        <is>
          <t>Não vendido</t>
        </is>
      </c>
      <c r="D282" s="4" t="inlineStr">
        <is>
          <t>4</t>
        </is>
      </c>
      <c r="E282" s="5" t="inlineStr">
        <is>
          <t>1.000,00</t>
        </is>
      </c>
      <c r="F282" s="4" t="inlineStr">
        <is>
          <t>100.00</t>
        </is>
      </c>
    </row>
    <row collapsed="false" customFormat="false" customHeight="false" hidden="false" ht="12.1" outlineLevel="0" r="283">
      <c r="A283" s="5" t="s">
        <f>=HYPERLINK("https://leilaoonline.com.br/lote/detalhe/145646", "1361")</f>
      </c>
      <c r="B283" s="4" t="s">
        <f>=HYPERLINK("https://leilaoonline.com.br/lote/detalhe/145646", " SLS-MRO-034-2022. - APROX. 37 ITENS. - VALVULA ESFERA VEA 25 ERMETO, FUSIVEL LIMIT CORR 160 A 7,2 KV; E OUTROS, VEJA DESCRITIVO DE ITENS. - LOC. SÃO LUIS/MA ")</f>
      </c>
      <c r="C283" s="4" t="inlineStr">
        <is>
          <t>Vendido</t>
        </is>
      </c>
      <c r="D283" s="4" t="inlineStr">
        <is>
          <t>40</t>
        </is>
      </c>
      <c r="E283" s="5" t="inlineStr">
        <is>
          <t>7.200,00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=HYPERLINK("https://leilaoonline.com.br/lote/detalhe/145640", "1362")</f>
      </c>
      <c r="B284" s="4" t="s">
        <f>=HYPERLINK("https://leilaoonline.com.br/lote/detalhe/145640", " SLS-MRO-035-2022. - APROX. 153 ITENS. - ROLAMENTO ROLOS CILINDRICOS, MANOMETRO MONTADO; E OUTROS, VEJA DDESCRITIVO DE ITENS. - LOC. SÃO LUIS/MA ")</f>
      </c>
      <c r="C284" s="4" t="inlineStr">
        <is>
          <t>Não vendido</t>
        </is>
      </c>
      <c r="D284" s="4" t="inlineStr">
        <is>
          <t>3</t>
        </is>
      </c>
      <c r="E284" s="5" t="inlineStr">
        <is>
          <t>700,00</t>
        </is>
      </c>
      <c r="F284" s="4" t="inlineStr">
        <is>
          <t>100.00</t>
        </is>
      </c>
    </row>
    <row collapsed="false" customFormat="false" customHeight="false" hidden="false" ht="12.1" outlineLevel="0" r="285">
      <c r="A285" s="5" t="s">
        <f>=HYPERLINK("https://leilaoonline.com.br/lote/detalhe/145642", "1363")</f>
      </c>
      <c r="B285" s="4" t="s">
        <f>=HYPERLINK("https://leilaoonline.com.br/lote/detalhe/145642", " SLS-MRO-036-2022. - APROX. 414 ITENS. - SENSOR PROX INDUT, RELE SEGUR 24VCC/CA,FUSIVEL CARTUCHO;  E OUTROS, VEJA DESCRITIVO DE ITENS. - LOC. SÃO LUIS/MA ")</f>
      </c>
      <c r="C285" s="4" t="inlineStr">
        <is>
          <t>Não vendido</t>
        </is>
      </c>
      <c r="D285" s="4" t="inlineStr">
        <is>
          <t>1</t>
        </is>
      </c>
      <c r="E285" s="5" t="inlineStr">
        <is>
          <t>500,00</t>
        </is>
      </c>
      <c r="F285" s="4" t="inlineStr">
        <is>
          <t>100.00</t>
        </is>
      </c>
    </row>
    <row collapsed="false" customFormat="false" customHeight="false" hidden="false" ht="12.1" outlineLevel="0" r="286">
      <c r="A286" s="5" t="s">
        <f>=HYPERLINK("https://leilaoonline.com.br/lote/detalhe/145644", "1364")</f>
      </c>
      <c r="B286" s="4" t="s">
        <f>=HYPERLINK("https://leilaoonline.com.br/lote/detalhe/145644", " SLS-MRO-037-2022. - APROX. 793 ITENS. - VALVULA SOLENOIDE, ROL ESF BVNB311523 SKF, VALVULA DIRECIONAL; E OUTROS, VEJA DESCRITIVO DE ITENS. - LOC. SÃO LUIS/MA")</f>
      </c>
      <c r="C286" s="4" t="inlineStr">
        <is>
          <t>Vendido</t>
        </is>
      </c>
      <c r="D286" s="4" t="inlineStr">
        <is>
          <t>25</t>
        </is>
      </c>
      <c r="E286" s="5" t="inlineStr">
        <is>
          <t>4.600,00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=HYPERLINK("https://leilaoonline.com.br/lote/detalhe/145649", "1365")</f>
      </c>
      <c r="B287" s="4" t="s">
        <f>=HYPERLINK("https://leilaoonline.com.br/lote/detalhe/145649", " SLS-MRO-038-2022. - APROX. 84 ITENS. - SEDE 14-01-00014 INTERVALVULAS, CHAVE FIM CURSO; E OUTROS, VEJA DESCRITIVO DE ITENS. - LOC. SÃO LUIS/MA")</f>
      </c>
      <c r="C287" s="4" t="inlineStr">
        <is>
          <t>Vendido</t>
        </is>
      </c>
      <c r="D287" s="4" t="inlineStr">
        <is>
          <t>10</t>
        </is>
      </c>
      <c r="E287" s="5" t="inlineStr">
        <is>
          <t>1.600,00</t>
        </is>
      </c>
      <c r="F287" s="4" t="inlineStr">
        <is>
          <t>200.00</t>
        </is>
      </c>
    </row>
    <row collapsed="false" customFormat="false" customHeight="false" hidden="false" ht="12.1" outlineLevel="0" r="288">
      <c r="A288" s="5" t="s">
        <f>=HYPERLINK("https://leilaoonline.com.br/lote/detalhe/145643", "1366")</f>
      </c>
      <c r="B288" s="4" t="s">
        <f>=HYPERLINK("https://leilaoonline.com.br/lote/detalhe/145643", " SLS-MRO-039-2022. - APROX. 511 ITENS. - ROL ESF 6210 2Z C3 SKF, MANTA 2781-16 UNION PARK, MOLA 0732040265 PLASSER; E OUTROS, VEJA DESCRITIVO DE ITENS. - LOC. SÃO LUIS/MA")</f>
      </c>
      <c r="C288" s="4" t="inlineStr">
        <is>
          <t>Não vendido</t>
        </is>
      </c>
      <c r="D288" s="4" t="inlineStr">
        <is>
          <t>33</t>
        </is>
      </c>
      <c r="E288" s="5" t="inlineStr">
        <is>
          <t>6.200,00</t>
        </is>
      </c>
      <c r="F288" s="4" t="inlineStr">
        <is>
          <t>200.00</t>
        </is>
      </c>
    </row>
    <row collapsed="false" customFormat="false" customHeight="false" hidden="false" ht="12.1" outlineLevel="0" r="289">
      <c r="A289" s="5" t="s">
        <f>=HYPERLINK("https://leilaoonline.com.br/lote/detalhe/145647", "1367")</f>
      </c>
      <c r="B289" s="4" t="s">
        <f>=HYPERLINK("https://leilaoonline.com.br/lote/detalhe/145647", " SLS-MRO-040-2022. - APROX. 377 ITENS. - MODULO ELET FREIO 230-500V, FILTRO CESTO FOFO 1POL, CAIXA DERIV X 2 POL-180X84MM; E OUTROS, VEJA DESCRITIVO DE ITENS. - LOC. SÃO LUIS/MA")</f>
      </c>
      <c r="C289" s="4" t="inlineStr">
        <is>
          <t>Não vendido</t>
        </is>
      </c>
      <c r="D289" s="4" t="inlineStr">
        <is>
          <t>17</t>
        </is>
      </c>
      <c r="E289" s="5" t="inlineStr">
        <is>
          <t>2.900,00</t>
        </is>
      </c>
      <c r="F289" s="4" t="inlineStr">
        <is>
          <t>200.00</t>
        </is>
      </c>
    </row>
    <row collapsed="false" customFormat="false" customHeight="false" hidden="false" ht="12.1" outlineLevel="0" r="290">
      <c r="A290" s="5" t="s">
        <f>=HYPERLINK("https://leilaoonline.com.br/lote/detalhe/145645", "1368")</f>
      </c>
      <c r="B290" s="4" t="s">
        <f>=HYPERLINK("https://leilaoonline.com.br/lote/detalhe/145645", " SLS-MRO-041-2022. - APROX. 202 ITENS. - SELO MEC 35MM AGUA, VALVULA BORB 2.1/2POL, APOIO YKCL219 KODA;  E OUTROS, VEJA DESCRITIVO DE ITENS. - LOC. SÃO LUIS/MA")</f>
      </c>
      <c r="C290" s="4" t="inlineStr">
        <is>
          <t>Não vendido</t>
        </is>
      </c>
      <c r="D290" s="4" t="inlineStr">
        <is>
          <t>32</t>
        </is>
      </c>
      <c r="E290" s="5" t="inlineStr">
        <is>
          <t>5.800,00</t>
        </is>
      </c>
      <c r="F290" s="4" t="inlineStr">
        <is>
          <t>200.00</t>
        </is>
      </c>
    </row>
    <row collapsed="false" customFormat="false" customHeight="false" hidden="false" ht="12.1" outlineLevel="0" r="291">
      <c r="A291" s="5" t="s">
        <f>=HYPERLINK("https://leilaoonline.com.br/lote/detalhe/145636", "1369")</f>
      </c>
      <c r="B291" s="4" t="s">
        <f>=HYPERLINK("https://leilaoonline.com.br/lote/detalhe/145636", " SLS-MRO-042-2022. - APROX. 149 ITENS. - MODULO ELETRONICO, TANQUE 8001803 CLARK, SENSOR PROX INDUT; E OUTROS, VEJA DESCRITIVO DE ITENS. - LOC. SÃO LUIS/MA")</f>
      </c>
      <c r="C291" s="4" t="inlineStr">
        <is>
          <t>Não vendido</t>
        </is>
      </c>
      <c r="D291" s="4" t="inlineStr">
        <is>
          <t>14</t>
        </is>
      </c>
      <c r="E291" s="5" t="inlineStr">
        <is>
          <t>2.500,00</t>
        </is>
      </c>
      <c r="F291" s="4" t="inlineStr">
        <is>
          <t>200.00</t>
        </is>
      </c>
    </row>
    <row collapsed="false" customFormat="false" customHeight="false" hidden="false" ht="12.1" outlineLevel="0" r="292">
      <c r="A292" s="5" t="s">
        <f>=HYPERLINK("https://leilaoonline.com.br/lote/detalhe/145637", "1370")</f>
      </c>
      <c r="B292" s="4" t="s">
        <f>=HYPERLINK("https://leilaoonline.com.br/lote/detalhe/145637", " SLS-MRO-043-2022. - APROX. 34 ITENS. - VALVULA AGULHA 1/4POL 350BAR, SENSOR NIVEL 18A30VCC 16BAR; E OUTROS, VEJA DESCRITIVO DE ITENS. - LOC. SÃO LUIS/MA")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500,00</t>
        </is>
      </c>
      <c r="F292" s="4" t="inlineStr">
        <is>
          <t>100.00</t>
        </is>
      </c>
    </row>
    <row collapsed="false" customFormat="false" customHeight="false" hidden="false" ht="12.1" outlineLevel="0" r="293">
      <c r="A293" s="5" t="s">
        <f>=HYPERLINK("https://leilaoonline.com.br/lote/detalhe/145652", "1371")</f>
      </c>
      <c r="B293" s="4" t="s">
        <f>=HYPERLINK("https://leilaoonline.com.br/lote/detalhe/145652", " SLS-MRO-044-2022. - APROX. 53 ITENS. - NIPLE TUBO NPT/NPT 1POL, FUSIVEL HH 15KV 1A 230MM, CAVALETE 2200X943X360MM; E OUTROS, VEJA DESCRITIVO DE ITENS. - LOC. SÃO LUIS/MA")</f>
      </c>
      <c r="C293" s="4" t="inlineStr">
        <is>
          <t>Não vendido</t>
        </is>
      </c>
      <c r="D293" s="4" t="inlineStr">
        <is>
          <t>1</t>
        </is>
      </c>
      <c r="E293" s="5" t="inlineStr">
        <is>
          <t>500,00</t>
        </is>
      </c>
      <c r="F293" s="4" t="inlineStr">
        <is>
          <t>100.00</t>
        </is>
      </c>
    </row>
    <row collapsed="false" customFormat="false" customHeight="false" hidden="false" ht="12.1" outlineLevel="0" r="294">
      <c r="A294" s="5" t="s">
        <f>=HYPERLINK("https://leilaoonline.com.br/lote/detalhe/145651", "1372")</f>
      </c>
      <c r="B294" s="4" t="s">
        <f>=HYPERLINK("https://leilaoonline.com.br/lote/detalhe/145651", " SLS-MRO-045-2022. - APROX. 135 ITENS. - VALVULA REDUT PRES609809E IT.37, ROLAMENTO AXIAL10071758, DISJUNTOR 1250A; E OUTROS, VEJA DESCRITIVO DE ITENS. - LOC. SÃO LUIS/MA")</f>
      </c>
      <c r="C294" s="4" t="inlineStr">
        <is>
          <t>Não vendido</t>
        </is>
      </c>
      <c r="D294" s="4" t="inlineStr">
        <is>
          <t>3</t>
        </is>
      </c>
      <c r="E294" s="5" t="inlineStr">
        <is>
          <t>700,00</t>
        </is>
      </c>
      <c r="F294" s="4" t="inlineStr">
        <is>
          <t>100.00</t>
        </is>
      </c>
    </row>
    <row collapsed="false" customFormat="false" customHeight="false" hidden="false" ht="12.1" outlineLevel="0" r="295">
      <c r="A295" s="5" t="s">
        <f>=HYPERLINK("https://leilaoonline.com.br/lote/detalhe/145650", "1373")</f>
      </c>
      <c r="B295" s="4" t="s">
        <f>=HYPERLINK("https://leilaoonline.com.br/lote/detalhe/145650", " SLS-MRO-046-2022. - APROX. 754 ITENS. - MODULO ELET 24VCC, PARAFUSO 20MM 80MM METR, RETENTOR VITON 240MM 280MM; E OUTROS, VEJA DESCRITIVO DE ITENS. - LOC. SÃO LUIS/MA")</f>
      </c>
      <c r="C295" s="4" t="inlineStr">
        <is>
          <t>Não vendido</t>
        </is>
      </c>
      <c r="D295" s="4" t="inlineStr">
        <is>
          <t>7</t>
        </is>
      </c>
      <c r="E295" s="5" t="inlineStr">
        <is>
          <t>1.200,00</t>
        </is>
      </c>
      <c r="F295" s="4" t="inlineStr">
        <is>
          <t>200.00</t>
        </is>
      </c>
    </row>
    <row collapsed="false" customFormat="false" customHeight="false" hidden="false" ht="12.1" outlineLevel="0" r="296">
      <c r="A296" s="5" t="s">
        <f>=HYPERLINK("https://leilaoonline.com.br/lote/detalhe/145656", "1374")</f>
      </c>
      <c r="B296" s="4" t="s">
        <f>=HYPERLINK("https://leilaoonline.com.br/lote/detalhe/145656", " SLS-MRO-047-2022. - APROX. 107 ITENS. - DISPOSITIVO FIXACAO10071933, ELEMENTO FILT CLASSE G3, ANEL 155X5-NBR; E OUTROS, VEJA DESCRITIVO DE ITENS. - LOC. SÃO LUIS/MA")</f>
      </c>
      <c r="C296" s="4" t="inlineStr">
        <is>
          <t>Não vendido</t>
        </is>
      </c>
      <c r="D296" s="4" t="inlineStr">
        <is>
          <t>1</t>
        </is>
      </c>
      <c r="E296" s="5" t="inlineStr">
        <is>
          <t>500,00</t>
        </is>
      </c>
      <c r="F296" s="4" t="inlineStr">
        <is>
          <t>100.00</t>
        </is>
      </c>
    </row>
    <row collapsed="false" customFormat="false" customHeight="false" hidden="false" ht="12.1" outlineLevel="0" r="297">
      <c r="A297" s="5" t="s">
        <f>=HYPERLINK("https://leilaoonline.com.br/lote/detalhe/145655", "1375")</f>
      </c>
      <c r="B297" s="4" t="s">
        <f>=HYPERLINK("https://leilaoonline.com.br/lote/detalhe/145655", " SLS-MRO-048-2022. - APROX. 254 ITENS. - PORCA KM13 PLASSER, MANGUEIRA MONT 41A222857P1, TERMINAL MANG RET 3/16POL 7/16PO; E PTROS, VEJA DESCRITIVO DE ITENS. - LOC. SÃO LUIS/MA")</f>
      </c>
      <c r="C297" s="4" t="inlineStr">
        <is>
          <t>Não vendido</t>
        </is>
      </c>
      <c r="D297" s="4" t="inlineStr">
        <is>
          <t>1</t>
        </is>
      </c>
      <c r="E297" s="5" t="inlineStr">
        <is>
          <t>500,00</t>
        </is>
      </c>
      <c r="F297" s="4" t="inlineStr">
        <is>
          <t>100.00</t>
        </is>
      </c>
    </row>
    <row collapsed="false" customFormat="false" customHeight="false" hidden="false" ht="12.1" outlineLevel="0" r="298">
      <c r="A298" s="5" t="s">
        <f>=HYPERLINK("https://leilaoonline.com.br/lote/detalhe/145659", "1376")</f>
      </c>
      <c r="B298" s="4" t="s">
        <f>=HYPERLINK("https://leilaoonline.com.br/lote/detalhe/145659", " SLS-MRO-049-2022. - APROX. 126 ITENS. - RELE MULTIF 24VCC 5A, MANCAL 280707E HEGENSCHEIDT, ROLAMENTO ROL DIN; E OUTROS, VEJA DESCRITIVO DE ITENS. - LOC. SÃO LUIS/MA")</f>
      </c>
      <c r="C298" s="4" t="inlineStr">
        <is>
          <t>Não vendido</t>
        </is>
      </c>
      <c r="D298" s="4" t="inlineStr">
        <is>
          <t>6</t>
        </is>
      </c>
      <c r="E298" s="5" t="inlineStr">
        <is>
          <t>1.000,00</t>
        </is>
      </c>
      <c r="F298" s="4" t="inlineStr">
        <is>
          <t>100.00</t>
        </is>
      </c>
    </row>
    <row collapsed="false" customFormat="false" customHeight="false" hidden="false" ht="12.1" outlineLevel="0" r="299">
      <c r="A299" s="5" t="s">
        <f>=HYPERLINK("https://leilaoonline.com.br/lote/detalhe/145657", "1377")</f>
      </c>
      <c r="B299" s="4" t="s">
        <f>=HYPERLINK("https://leilaoonline.com.br/lote/detalhe/145657", " SLS-MROZIPI-012-2022. - APROX. 52 ITENS. - CENTRIFUGADORES, INCLUINDO OS SECADORES CENTRIFUGOS; APARELHOS PARA FILTRAR; E OUTROS, VEJA DESCRITIVO DE ITENS. - LOC. SÃO LUIS/MA")</f>
      </c>
      <c r="C299" s="4" t="inlineStr">
        <is>
          <t>Não vendido</t>
        </is>
      </c>
      <c r="D299" s="4" t="inlineStr">
        <is>
          <t>4</t>
        </is>
      </c>
      <c r="E299" s="5" t="inlineStr">
        <is>
          <t>1.500,00</t>
        </is>
      </c>
      <c r="F299" s="4" t="inlineStr">
        <is>
          <t>200.00</t>
        </is>
      </c>
    </row>
    <row collapsed="false" customFormat="false" customHeight="false" hidden="false" ht="12.1" outlineLevel="0" r="300">
      <c r="A300" s="5" t="s">
        <f>=HYPERLINK("https://leilaoonline.com.br/lote/detalhe/145685", "1378")</f>
      </c>
      <c r="B300" s="4" t="s">
        <f>=HYPERLINK("https://leilaoonline.com.br/lote/detalhe/145685", "S11D-014-2022-MRO. - APROX. 201 ITENS. - CHAPA CA00058890 SANDVIK, PLACA CA00058943 SANDVIK; E OUTROS, VEJA DESCRITIVO DE ITENS. - LOC.  CANAÃ DOS CARAJÁS/PA")</f>
      </c>
      <c r="C300" s="4" t="inlineStr">
        <is>
          <t>Não vendido</t>
        </is>
      </c>
      <c r="D300" s="4" t="inlineStr">
        <is>
          <t>75</t>
        </is>
      </c>
      <c r="E300" s="5" t="inlineStr">
        <is>
          <t>24.500,00</t>
        </is>
      </c>
      <c r="F300" s="4" t="inlineStr">
        <is>
          <t>1000.00</t>
        </is>
      </c>
    </row>
    <row collapsed="false" customFormat="false" customHeight="false" hidden="false" ht="12.1" outlineLevel="0" r="301">
      <c r="A301" s="5" t="s">
        <f>=HYPERLINK("https://leilaoonline.com.br/lote/detalhe/145702", "1379")</f>
      </c>
      <c r="B301" s="4" t="s">
        <f>=HYPERLINK("https://leilaoonline.com.br/lote/detalhe/145702", " SSG-051-2022-MR0. - APROX. 186 ITENS. - ARRUELA 966467 CATERPILLAR, FILTRO 1449962 CATERPILLAR, TRAVA 2014759 CATERPILLAR, E OUTROS, VEJA DESCRITIVO DE ITENS. - LOC. CANAÃ DOS CARAJAS/PA 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500,00</t>
        </is>
      </c>
      <c r="F301" s="4" t="inlineStr">
        <is>
          <t>100.00</t>
        </is>
      </c>
    </row>
    <row collapsed="false" customFormat="false" customHeight="false" hidden="false" ht="12.1" outlineLevel="0" r="302">
      <c r="A302" s="5" t="s">
        <f>=HYPERLINK("https://leilaoonline.com.br/lote/detalhe/145707", "1380")</f>
      </c>
      <c r="B302" s="4" t="s">
        <f>=HYPERLINK("https://leilaoonline.com.br/lote/detalhe/145707", " SSG-052-2022-MRO. - APROX 1088 ITENS. - PORCA SEXT 1POL NS 8, SELO 8C3100 CATERPILLAR, MOL 5V8494 CATERPILLAR; E OUTROS, VEJA DESCRITIVO DE ITENS. - LOC. CANAÃ DOS CARAJAS/PA")</f>
      </c>
      <c r="C302" s="4" t="inlineStr">
        <is>
          <t>Não vendido</t>
        </is>
      </c>
      <c r="D302" s="4" t="inlineStr">
        <is>
          <t>1</t>
        </is>
      </c>
      <c r="E302" s="5" t="inlineStr">
        <is>
          <t>500,00</t>
        </is>
      </c>
      <c r="F302" s="4" t="inlineStr">
        <is>
          <t>100.00</t>
        </is>
      </c>
    </row>
    <row collapsed="false" customFormat="false" customHeight="false" hidden="false" ht="12.1" outlineLevel="0" r="303">
      <c r="A303" s="5" t="s">
        <f>=HYPERLINK("https://leilaoonline.com.br/lote/detalhe/145697", "1381")</f>
      </c>
      <c r="B303" s="4" t="s">
        <f>=HYPERLINK("https://leilaoonline.com.br/lote/detalhe/145697", " SSG-053-2022-MRO. - APROX. 154 ITENS. - CAPA 7H4566 CATERPILLAR, ILHOS 932065 CATERPILLAR, LENTE 2592093 CATERPILLAR; E OUTROS, VEJA DESCRITIVO DE ITENS. - LOC. CANÃ DOS CARAJÁS/PA")</f>
      </c>
      <c r="C303" s="4" t="inlineStr">
        <is>
          <t>Não vendido</t>
        </is>
      </c>
      <c r="D303" s="4" t="inlineStr">
        <is>
          <t>5</t>
        </is>
      </c>
      <c r="E303" s="5" t="inlineStr">
        <is>
          <t>900,00</t>
        </is>
      </c>
      <c r="F303" s="4" t="inlineStr">
        <is>
          <t>100.00</t>
        </is>
      </c>
    </row>
    <row collapsed="false" customFormat="false" customHeight="false" hidden="false" ht="12.1" outlineLevel="0" r="304">
      <c r="A304" s="5" t="s">
        <f>=HYPERLINK("https://leilaoonline.com.br/lote/detalhe/145704", "1382")</f>
      </c>
      <c r="B304" s="4" t="s">
        <f>=HYPERLINK("https://leilaoonline.com.br/lote/detalhe/145704", " SSG-054-2022-MRO. - APROX. 336 ITENS. - ANEL, PARAFUSO, REBOLO E OUTROS, VEJA DESCRITIVO DE ITENS. - LOC. CANÃ DOS CARAJÁS/PA")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500,00</t>
        </is>
      </c>
      <c r="F304" s="4" t="inlineStr">
        <is>
          <t>100.00</t>
        </is>
      </c>
    </row>
    <row collapsed="false" customFormat="false" customHeight="false" hidden="false" ht="12.1" outlineLevel="0" r="305">
      <c r="A305" s="5" t="s">
        <f>=HYPERLINK("https://leilaoonline.com.br/lote/detalhe/145703", "1383")</f>
      </c>
      <c r="B305" s="4" t="s">
        <f>=HYPERLINK("https://leilaoonline.com.br/lote/detalhe/145703", " SSG-018-2022-MRO. - APROX. 119 ITENS. - RETENTOR NBR 158,12MM, CONEXAO 403680 GE, DISJUNTOR 25A 25KA UNIPOLAR; E OUTROS, VEJA DESCRITIVO DE ITENS. - LOC. CANAÃ DOS CARAJÁS/PA")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500,00</t>
        </is>
      </c>
      <c r="F305" s="4" t="inlineStr">
        <is>
          <t>100.00</t>
        </is>
      </c>
    </row>
    <row collapsed="false" customFormat="false" customHeight="false" hidden="false" ht="12.1" outlineLevel="0" r="306">
      <c r="A306" s="5" t="s">
        <f>=HYPERLINK("https://leilaoonline.com.br/lote/detalhe/145709", "1384")</f>
      </c>
      <c r="B306" s="4" t="s">
        <f>=HYPERLINK("https://leilaoonline.com.br/lote/detalhe/145709", " SSG-025-2021-MRO. - APROX. 228 ITENS. - JUNTA 1228014 CATERPILLAR, CALCO 4I6604 CATERPILLAR, ANEL 8X0559 CATERPILLAR; E OUTROS, VEJA DESCRITIVO DE ITENS. - LOC. CANAÃ DOS CARAJÁS/PA")</f>
      </c>
      <c r="C306" s="4" t="inlineStr">
        <is>
          <t>Vendido</t>
        </is>
      </c>
      <c r="D306" s="4" t="inlineStr">
        <is>
          <t>9</t>
        </is>
      </c>
      <c r="E306" s="5" t="inlineStr">
        <is>
          <t>1.543,00</t>
        </is>
      </c>
      <c r="F306" s="4" t="inlineStr">
        <is>
          <t>200.00</t>
        </is>
      </c>
    </row>
    <row collapsed="false" customFormat="false" customHeight="false" hidden="false" ht="12.1" outlineLevel="0" r="307">
      <c r="A307" s="5" t="s">
        <f>=HYPERLINK("https://leilaoonline.com.br/lote/detalhe/145698", "1385")</f>
      </c>
      <c r="B307" s="4" t="s">
        <f>=HYPERLINK("https://leilaoonline.com.br/lote/detalhe/145698", " SSG-0032-2022-MRO. - APROX. 51 ITENS. - INDIC 41000186 OUTOKUMPU, RETENTOR 1H8278 CATERPILLAR, JUNTA 1272176 CATERPILLAR; E OUTROS, VEJA DESCRITIVO DE ITENS. - LOC. CANAÃ DOS CARAJÁS/PA")</f>
      </c>
      <c r="C307" s="4" t="inlineStr">
        <is>
          <t>Vendido</t>
        </is>
      </c>
      <c r="D307" s="4" t="inlineStr">
        <is>
          <t>11</t>
        </is>
      </c>
      <c r="E307" s="5" t="inlineStr">
        <is>
          <t>1.900,00</t>
        </is>
      </c>
      <c r="F307" s="4" t="inlineStr">
        <is>
          <t>200.00</t>
        </is>
      </c>
    </row>
    <row collapsed="false" customFormat="false" customHeight="false" hidden="false" ht="12.1" outlineLevel="0" r="308">
      <c r="A308" s="5" t="s">
        <f>=HYPERLINK("https://leilaoonline.com.br/lote/detalhe/145710", "1386")</f>
      </c>
      <c r="B308" s="4" t="s">
        <f>=HYPERLINK("https://leilaoonline.com.br/lote/detalhe/145710", " SSG-043-2022-MRO. - APROX. 509 ITENS. - MODULO ELETR 18-30VCC, LUVA EMENDA CABO YSL120-T32 FCI, FONTE ALIM 48V; E OUTROS, VEJA DESCRITIVO DE ITENS. - LOC. CANAÃ DOS CARAJÁS/PA")</f>
      </c>
      <c r="C308" s="4" t="inlineStr">
        <is>
          <t>Não vendido</t>
        </is>
      </c>
      <c r="D308" s="4" t="inlineStr">
        <is>
          <t>15</t>
        </is>
      </c>
      <c r="E308" s="5" t="inlineStr">
        <is>
          <t>2.600,00</t>
        </is>
      </c>
      <c r="F308" s="4" t="inlineStr">
        <is>
          <t>200.00</t>
        </is>
      </c>
    </row>
    <row collapsed="false" customFormat="false" customHeight="false" hidden="false" ht="12.1" outlineLevel="0" r="309">
      <c r="A309" s="5" t="s">
        <f>=HYPERLINK("https://leilaoonline.com.br/lote/detalhe/145706", "1387")</f>
      </c>
      <c r="B309" s="4" t="s">
        <f>=HYPERLINK("https://leilaoonline.com.br/lote/detalhe/145706", " SSG-045-2022-MRO. - APROX. 311 ITENS. - EIXO 2657770463 ATLAS COPCO, CHAVE SECCIONADORA, CAVALETE 250X707X1810MM;  E OUTROS, VEJA DECRITIVO DE ITENS. -LOC. CANAÃ DOS CARAJÁS/PA")</f>
      </c>
      <c r="C309" s="4" t="inlineStr">
        <is>
          <t>Não vendido</t>
        </is>
      </c>
      <c r="D309" s="4" t="inlineStr">
        <is>
          <t>34</t>
        </is>
      </c>
      <c r="E309" s="5" t="inlineStr">
        <is>
          <t>6.900,00</t>
        </is>
      </c>
      <c r="F309" s="4" t="inlineStr">
        <is>
          <t>200.00</t>
        </is>
      </c>
    </row>
    <row collapsed="false" customFormat="false" customHeight="false" hidden="false" ht="12.1" outlineLevel="0" r="310">
      <c r="A310" s="5" t="s">
        <f>=HYPERLINK("https://leilaoonline.com.br/lote/detalhe/145705", "1388")</f>
      </c>
      <c r="B310" s="4" t="s">
        <f>=HYPERLINK("https://leilaoonline.com.br/lote/detalhe/145705", " SSG-047-2022-MRO. - APROX. 211 ITENS. - ANEL 0700015240 KOMATSU, BATENTE 92598240 KOMATSU,FILTRO 76694773 KOMATSU; E OUTROS, VEJA DESCRITIVO DE ITENS. - LOC. CANAÃ DOS CARAJÁS/PA  ")</f>
      </c>
      <c r="C310" s="4" t="inlineStr">
        <is>
          <t>Não vendido</t>
        </is>
      </c>
      <c r="D310" s="4" t="inlineStr">
        <is>
          <t>1</t>
        </is>
      </c>
      <c r="E310" s="5" t="inlineStr">
        <is>
          <t>500,00</t>
        </is>
      </c>
      <c r="F310" s="4" t="inlineStr">
        <is>
          <t>100.00</t>
        </is>
      </c>
    </row>
    <row collapsed="false" customFormat="false" customHeight="false" hidden="false" ht="12.1" outlineLevel="0" r="311">
      <c r="A311" s="5" t="s">
        <f>=HYPERLINK("https://leilaoonline.com.br/lote/detalhe/145711", "1389")</f>
      </c>
      <c r="B311" s="4" t="s">
        <f>=HYPERLINK("https://leilaoonline.com.br/lote/detalhe/145711", " SSG-050-2022-MRO. -  APROX. 431 ITENS. - MODULO ELET 24VCC, FILTRO 03363 HIGRA, VALVULA RET 4POL 150LBS; E OUTROS, VEJA DESCRITIVO DE ITENS. - LOC. CANAÃ DOS CARAJÁS/PA")</f>
      </c>
      <c r="C311" s="4" t="inlineStr">
        <is>
          <t>Não vendido</t>
        </is>
      </c>
      <c r="D311" s="4" t="inlineStr">
        <is>
          <t>19</t>
        </is>
      </c>
      <c r="E311" s="5" t="inlineStr">
        <is>
          <t>3.300,00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=HYPERLINK("https://leilaoonline.com.br/lote/detalhe/145708", "1390")</f>
      </c>
      <c r="B312" s="4" t="s">
        <f>=HYPERLINK("https://leilaoonline.com.br/lote/detalhe/145708", " TIG-012-2022. - 2 JG. CALCO AI AISI304 125MM 45MM; 1 PC CONTAT ELET 110V 32A. - LOC. SANTA CRUZ/RJ")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500,00</t>
        </is>
      </c>
      <c r="F312" s="4" t="inlineStr">
        <is>
          <t>100.00</t>
        </is>
      </c>
    </row>
    <row collapsed="false" customFormat="false" customHeight="false" hidden="false" ht="12.1" outlineLevel="0" r="313">
      <c r="A313" s="5" t="s">
        <f>=HYPERLINK("https://leilaoonline.com.br/lote/detalhe/145701", "1391")</f>
      </c>
      <c r="B313" s="4" t="s">
        <f>=HYPERLINK("https://leilaoonline.com.br/lote/detalhe/145701", " TIG-016-2022. - APROX. 1064 ITENS. - ROLO TRANSP RET METAL 6,35MM 1961MM, ARRUELA 16MM 24,4MM; E OUTROS, VEJA DESCRITIVO DE ITENS. - LOC. MANGARATIBA/RJ  ")</f>
      </c>
      <c r="C313" s="4" t="inlineStr">
        <is>
          <t>Não vendido</t>
        </is>
      </c>
      <c r="D313" s="4" t="inlineStr">
        <is>
          <t>3</t>
        </is>
      </c>
      <c r="E313" s="5" t="inlineStr">
        <is>
          <t>700,00</t>
        </is>
      </c>
      <c r="F313" s="4" t="inlineStr">
        <is>
          <t>100.00</t>
        </is>
      </c>
    </row>
    <row collapsed="false" customFormat="false" customHeight="false" hidden="false" ht="12.1" outlineLevel="0" r="314">
      <c r="A314" s="5" t="s">
        <f>=HYPERLINK("https://leilaoonline.com.br/lote/detalhe/145700", "1392")</f>
      </c>
      <c r="B314" s="4" t="s">
        <f>=HYPERLINK("https://leilaoonline.com.br/lote/detalhe/145700", " TIG-017-2022 - 1 TAMBOR ACIONAM;SP-290-384-65-16 STEPHENS. - LOC. MANGARATIBA/RJ")</f>
      </c>
      <c r="C314" s="4" t="inlineStr">
        <is>
          <t>Não vendido</t>
        </is>
      </c>
      <c r="D314" s="4" t="inlineStr">
        <is>
          <t>5</t>
        </is>
      </c>
      <c r="E314" s="5" t="inlineStr">
        <is>
          <t>900,00</t>
        </is>
      </c>
      <c r="F314" s="4" t="inlineStr">
        <is>
          <t>100.00</t>
        </is>
      </c>
    </row>
    <row collapsed="false" customFormat="false" customHeight="false" hidden="false" ht="12.1" outlineLevel="0" r="315">
      <c r="A315" s="5" t="s">
        <f>=HYPERLINK("https://leilaoonline.com.br/lote/detalhe/145712", "1393")</f>
      </c>
      <c r="B315" s="4" t="s">
        <f>=HYPERLINK("https://leilaoonline.com.br/lote/detalhe/145712", " TIG-018-2022. - APROX. 1514 ITENS. - PARAFUSO 5/8POL 10POL UNC, SENSOR PROX INDUT, ROLO TRANSP 8,08MM 726MM; E OUTROS, VEJA DESCRITIVO DE ITENS. - LOC. MANGARATIBA/RJ")</f>
      </c>
      <c r="C315" s="4" t="inlineStr">
        <is>
          <t>Não vendido</t>
        </is>
      </c>
      <c r="D315" s="4" t="inlineStr">
        <is>
          <t>1</t>
        </is>
      </c>
      <c r="E315" s="5" t="inlineStr">
        <is>
          <t>500,00</t>
        </is>
      </c>
      <c r="F315" s="4" t="inlineStr">
        <is>
          <t>100.00</t>
        </is>
      </c>
    </row>
    <row collapsed="false" customFormat="false" customHeight="false" hidden="false" ht="12.1" outlineLevel="0" r="316">
      <c r="A316" s="5" t="s">
        <f>=HYPERLINK("https://leilaoonline.com.br/lote/detalhe/145713", "1394")</f>
      </c>
      <c r="B316" s="4" t="s">
        <f>=HYPERLINK("https://leilaoonline.com.br/lote/detalhe/145713", " TIG-022-2022. - 2 TMB CR TR 800MM - MBR - LOC. MANGARATIBA/RJ")</f>
      </c>
      <c r="C316" s="4" t="inlineStr">
        <is>
          <t>Não vendido</t>
        </is>
      </c>
      <c r="D316" s="4" t="inlineStr">
        <is>
          <t>15</t>
        </is>
      </c>
      <c r="E316" s="5" t="inlineStr">
        <is>
          <t>2.700,00</t>
        </is>
      </c>
      <c r="F316" s="4" t="inlineStr">
        <is>
          <t>200.00</t>
        </is>
      </c>
    </row>
    <row collapsed="false" customFormat="false" customHeight="false" hidden="false" ht="12.1" outlineLevel="0" r="317">
      <c r="A317" s="5" t="s">
        <f>=HYPERLINK("https://leilaoonline.com.br/lote/detalhe/145699", "1395")</f>
      </c>
      <c r="B317" s="4" t="s">
        <f>=HYPERLINK("https://leilaoonline.com.br/lote/detalhe/145699", " TIG-023-2022. - 2 TMB CR TR 800MM - MBR - LOC. MANGARATIBA/RJ")</f>
      </c>
      <c r="C317" s="4" t="inlineStr">
        <is>
          <t>Não vendido</t>
        </is>
      </c>
      <c r="D317" s="4" t="inlineStr">
        <is>
          <t>14</t>
        </is>
      </c>
      <c r="E317" s="5" t="inlineStr">
        <is>
          <t>2.500,00</t>
        </is>
      </c>
      <c r="F317" s="4" t="inlineStr">
        <is>
          <t>200.00</t>
        </is>
      </c>
    </row>
    <row collapsed="false" customFormat="false" customHeight="false" hidden="false" ht="12.1" outlineLevel="0" r="318">
      <c r="A318" s="5" t="s">
        <f>=HYPERLINK("https://leilaoonline.com.br/lote/detalhe/145714", "1396")</f>
      </c>
      <c r="B318" s="4" t="s">
        <f>=HYPERLINK("https://leilaoonline.com.br/lote/detalhe/145714", " TIG-024-2022. - 1 TAMBOR CORR TRANSP 1200MM E 1 TAMBOR CORR TRANSP 630MM OUTOKUMPU - LOC. MANGARATIBA/RJ")</f>
      </c>
      <c r="C318" s="4" t="inlineStr">
        <is>
          <t>Não vendido</t>
        </is>
      </c>
      <c r="D318" s="4" t="inlineStr">
        <is>
          <t>11</t>
        </is>
      </c>
      <c r="E318" s="5" t="inlineStr">
        <is>
          <t>2.000,00</t>
        </is>
      </c>
      <c r="F318" s="4" t="inlineStr">
        <is>
          <t>200.00</t>
        </is>
      </c>
    </row>
    <row collapsed="false" customFormat="false" customHeight="false" hidden="false" ht="12.1" outlineLevel="0" r="319">
      <c r="A319" s="5" t="s">
        <f>=HYPERLINK("https://leilaoonline.com.br/lote/detalhe/145722", "1397")</f>
      </c>
      <c r="B319" s="4" t="s">
        <f>=HYPERLINK("https://leilaoonline.com.br/lote/detalhe/145722", " TIG-025-2022 - 1 TAMBOR CORR TRANSP 1000MM K6098-TC09B-09. - LOC. MANGARATIBA/RJ")</f>
      </c>
      <c r="C319" s="4" t="inlineStr">
        <is>
          <t>Não vendido</t>
        </is>
      </c>
      <c r="D319" s="4" t="inlineStr">
        <is>
          <t>11</t>
        </is>
      </c>
      <c r="E319" s="5" t="inlineStr">
        <is>
          <t>2.000,00</t>
        </is>
      </c>
      <c r="F319" s="4" t="inlineStr">
        <is>
          <t>200.00</t>
        </is>
      </c>
    </row>
    <row collapsed="false" customFormat="false" customHeight="false" hidden="false" ht="12.1" outlineLevel="0" r="320">
      <c r="A320" s="5" t="s">
        <f>=HYPERLINK("https://leilaoonline.com.br/lote/detalhe/145718", "1398")</f>
      </c>
      <c r="B320" s="4" t="s">
        <f>=HYPERLINK("https://leilaoonline.com.br/lote/detalhe/145718", " TIG-026-2022 - 1 TAMBOR MGS-K9022006019-20 FILSAN. - LOC. MANGARATIBA/RJ")</f>
      </c>
      <c r="C320" s="4" t="inlineStr">
        <is>
          <t>Não vendido</t>
        </is>
      </c>
      <c r="D320" s="4" t="inlineStr">
        <is>
          <t>9</t>
        </is>
      </c>
      <c r="E320" s="5" t="inlineStr">
        <is>
          <t>1.500,00</t>
        </is>
      </c>
      <c r="F320" s="4" t="inlineStr">
        <is>
          <t>200.00</t>
        </is>
      </c>
    </row>
    <row collapsed="false" customFormat="false" customHeight="false" hidden="false" ht="12.1" outlineLevel="0" r="321">
      <c r="A321" s="5" t="s">
        <f>=HYPERLINK("https://leilaoonline.com.br/lote/detalhe/145725", "1399")</f>
      </c>
      <c r="B321" s="4" t="s">
        <f>=HYPERLINK("https://leilaoonline.com.br/lote/detalhe/145725", " TIG-027-2022 - 1 TAMBOR CORR TRANSP 1170MM - FILSAN - LOC. MANGARATIBA/RJ")</f>
      </c>
      <c r="C321" s="4" t="inlineStr">
        <is>
          <t>Não vendido</t>
        </is>
      </c>
      <c r="D321" s="4" t="inlineStr">
        <is>
          <t>9</t>
        </is>
      </c>
      <c r="E321" s="5" t="inlineStr">
        <is>
          <t>1.500,00</t>
        </is>
      </c>
      <c r="F321" s="4" t="inlineStr">
        <is>
          <t>200.00</t>
        </is>
      </c>
    </row>
    <row collapsed="false" customFormat="false" customHeight="false" hidden="false" ht="12.1" outlineLevel="0" r="322">
      <c r="A322" s="5" t="s">
        <f>=HYPERLINK("https://leilaoonline.com.br/lote/detalhe/145716", "1400")</f>
      </c>
      <c r="B322" s="4" t="s">
        <f>=HYPERLINK("https://leilaoonline.com.br/lote/detalhe/145716", " TIG-030-2022. - APROX. 93 ITENS. - DISJUNTOR 4A 100KA TRIP, CHAVE NIVEL ANALOG 22MM SPST, MOTOFREIO CA 440V; E OUTROS, VEJA DESCRITIVO DE ITENS. - LOC. MANGARATIBA/RJ")</f>
      </c>
      <c r="C322" s="4" t="inlineStr">
        <is>
          <t>Não vendido</t>
        </is>
      </c>
      <c r="D322" s="4" t="inlineStr">
        <is>
          <t>4</t>
        </is>
      </c>
      <c r="E322" s="5" t="inlineStr">
        <is>
          <t>800,00</t>
        </is>
      </c>
      <c r="F322" s="4" t="inlineStr">
        <is>
          <t>100.00</t>
        </is>
      </c>
    </row>
    <row collapsed="false" customFormat="false" customHeight="false" hidden="false" ht="12.1" outlineLevel="0" r="323">
      <c r="A323" s="5" t="s">
        <f>=HYPERLINK("https://leilaoonline.com.br/lote/detalhe/145717", "1401")</f>
      </c>
      <c r="B323" s="4" t="s">
        <f>=HYPERLINK("https://leilaoonline.com.br/lote/detalhe/145717", " TIG-031-2022. - 2 CX DF-3111PS-M-00021/IT.1-20 DESENHO VALE. - LOC. MANGARATIBA/RJ")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500,00</t>
        </is>
      </c>
      <c r="F323" s="4" t="inlineStr">
        <is>
          <t>100.00</t>
        </is>
      </c>
    </row>
    <row collapsed="false" customFormat="false" customHeight="false" hidden="false" ht="12.1" outlineLevel="0" r="324">
      <c r="A324" s="5" t="s">
        <f>=HYPERLINK("https://leilaoonline.com.br/lote/detalhe/145715", "1402")</f>
      </c>
      <c r="B324" s="4" t="s">
        <f>=HYPERLINK("https://leilaoonline.com.br/lote/detalhe/145715", " TIG-032-2022. - 8  ANEL O 16,36MM 2,21MM 90SHOREA - CUMMINS; CATERPILLAR - LOC. MANAGARATIBA/RJ")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500,00</t>
        </is>
      </c>
      <c r="F324" s="4" t="inlineStr">
        <is>
          <t>100.00</t>
        </is>
      </c>
    </row>
    <row collapsed="false" customFormat="false" customHeight="false" hidden="false" ht="12.1" outlineLevel="0" r="325">
      <c r="A325" s="5" t="s">
        <f>=HYPERLINK("https://leilaoonline.com.br/lote/detalhe/145719", "1403")</f>
      </c>
      <c r="B325" s="4" t="s">
        <f>=HYPERLINK("https://leilaoonline.com.br/lote/detalhe/145719", " TIG-033-2022. - APROX. 1524 ITENS. - PARAFUSO 20MM 55MM METR, PARAFUSO 1POL 6POL UNC, ELEMENTO FILT FLUID; E OUTROS, VEJA DESCRITIVO DE ITENS. - LOC. MANGARATIBA/RJ")</f>
      </c>
      <c r="C325" s="4" t="inlineStr">
        <is>
          <t>Vendido</t>
        </is>
      </c>
      <c r="D325" s="4" t="inlineStr">
        <is>
          <t>80</t>
        </is>
      </c>
      <c r="E325" s="5" t="inlineStr">
        <is>
          <t>30.200,00</t>
        </is>
      </c>
      <c r="F325" s="4" t="inlineStr">
        <is>
          <t>1000.00</t>
        </is>
      </c>
    </row>
    <row collapsed="false" customFormat="false" customHeight="false" hidden="false" ht="12.1" outlineLevel="0" r="326">
      <c r="A326" s="5" t="s">
        <f>=HYPERLINK("https://leilaoonline.com.br/lote/detalhe/145721", "1404")</f>
      </c>
      <c r="B326" s="4" t="s">
        <f>=HYPERLINK("https://leilaoonline.com.br/lote/detalhe/145721", " TIG-034-2022. - APROX. 17 ITENS. - BUCHA ROLAM CONIC 320MM, ROL ESF 6324 C3 SKF, PROJETOR LUMIN MONT 400VCA; E OUTROS, VEJA DESCRITIVO DE ITENS. - LOC. MANGARATIBA/RJ")</f>
      </c>
      <c r="C326" s="4" t="inlineStr">
        <is>
          <t>Não vendido</t>
        </is>
      </c>
      <c r="D326" s="4" t="inlineStr">
        <is>
          <t>31</t>
        </is>
      </c>
      <c r="E326" s="5" t="inlineStr">
        <is>
          <t>5.700,00</t>
        </is>
      </c>
      <c r="F326" s="4" t="inlineStr">
        <is>
          <t>200.00</t>
        </is>
      </c>
    </row>
    <row collapsed="false" customFormat="false" customHeight="false" hidden="false" ht="12.1" outlineLevel="0" r="327">
      <c r="A327" s="5" t="s">
        <f>=HYPERLINK("https://leilaoonline.com.br/lote/detalhe/145724", "1405")</f>
      </c>
      <c r="B327" s="4" t="s">
        <f>=HYPERLINK("https://leilaoonline.com.br/lote/detalhe/145724", " TIMBO-001-2022. - 1 ELEM FLEX ELAST SBR NOR-MEX E265 VULKAN. - LOC. MARIANA/MG")</f>
      </c>
      <c r="C327" s="4" t="inlineStr">
        <is>
          <t>Não vendido</t>
        </is>
      </c>
      <c r="D327" s="4" t="inlineStr">
        <is>
          <t>1</t>
        </is>
      </c>
      <c r="E327" s="5" t="inlineStr">
        <is>
          <t>500,00</t>
        </is>
      </c>
      <c r="F327" s="4" t="inlineStr">
        <is>
          <t>100.00</t>
        </is>
      </c>
    </row>
    <row collapsed="false" customFormat="false" customHeight="false" hidden="false" ht="12.1" outlineLevel="0" r="328">
      <c r="A328" s="5" t="s">
        <f>=HYPERLINK("https://leilaoonline.com.br/lote/detalhe/145720", "1406")</f>
      </c>
      <c r="B328" s="4" t="s">
        <f>=HYPERLINK("https://leilaoonline.com.br/lote/detalhe/145720", " VIGA-043-2022. - 1 PARTES E PECAS TECIDO FILTRANTE ESTEIRA. - LOC. CONGONHAS/MG")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500,00</t>
        </is>
      </c>
      <c r="F328" s="4" t="inlineStr">
        <is>
          <t>100.00</t>
        </is>
      </c>
    </row>
    <row collapsed="false" customFormat="false" customHeight="false" hidden="false" ht="12.1" outlineLevel="0" r="329">
      <c r="A329" s="5" t="s">
        <f>=HYPERLINK("https://leilaoonline.com.br/lote/detalhe/145723", "1407")</f>
      </c>
      <c r="B329" s="4" t="s">
        <f>=HYPERLINK("https://leilaoonline.com.br/lote/detalhe/145723", " VIGA-045-2022. - 2 SENSORES NIVEL I04453 UNIDATA. - LOC. CONGONHAS/MG")</f>
      </c>
      <c r="C329" s="4" t="inlineStr">
        <is>
          <t>Não vendido</t>
        </is>
      </c>
      <c r="D329" s="4" t="inlineStr">
        <is>
          <t>0</t>
        </is>
      </c>
      <c r="E329" s="5" t="inlineStr">
        <is>
          <t>500,00</t>
        </is>
      </c>
      <c r="F329" s="4" t="inlineStr">
        <is>
          <t>100.00</t>
        </is>
      </c>
    </row>
    <row collapsed="false" customFormat="false" customHeight="false" hidden="false" ht="12.1" outlineLevel="0" r="330">
      <c r="A330" s="5" t="s">
        <f>=HYPERLINK("https://leilaoonline.com.br/lote/detalhe/145736", "1408")</f>
      </c>
      <c r="B330" s="4" t="s">
        <f>=HYPERLINK("https://leilaoonline.com.br/lote/detalhe/145736", " GOV-022-2022 - APROX. 1535 ITENS - MOTOR LIMPADOR, LUVA, MANGUEIRA E OUTROS - VEJA DESCRITIVO DE ITENS - LOC: GOVERNADOR VALADARES/ MG")</f>
      </c>
      <c r="C330" s="4" t="inlineStr">
        <is>
          <t>Não vendido</t>
        </is>
      </c>
      <c r="D330" s="4" t="inlineStr">
        <is>
          <t>4</t>
        </is>
      </c>
      <c r="E330" s="5" t="inlineStr">
        <is>
          <t>800,00</t>
        </is>
      </c>
      <c r="F330" s="4" t="inlineStr">
        <is>
          <t>100.00</t>
        </is>
      </c>
    </row>
    <row collapsed="false" customFormat="false" customHeight="false" hidden="false" ht="12.1" outlineLevel="0" r="331">
      <c r="A331" s="5" t="s">
        <f>=HYPERLINK("https://leilaoonline.com.br/lote/detalhe/145741", "1409")</f>
      </c>
      <c r="B331" s="4" t="s">
        <f>=HYPERLINK("https://leilaoonline.com.br/lote/detalhe/145741", " GOV-023-2022 - APROX. 1480 ITENS - PARTES E PECAS EQUIP DIVERSOS, MODULO, CABEÇOTE E OUTROS - VEJA DESCRITIVO DE ITENS - LOC: GOVERNADOR VALADARES/ MG")</f>
      </c>
      <c r="C331" s="4" t="inlineStr">
        <is>
          <t>Não vendido</t>
        </is>
      </c>
      <c r="D331" s="4" t="inlineStr">
        <is>
          <t>5</t>
        </is>
      </c>
      <c r="E331" s="5" t="inlineStr">
        <is>
          <t>900,00</t>
        </is>
      </c>
      <c r="F331" s="4" t="inlineStr">
        <is>
          <t>100.00</t>
        </is>
      </c>
    </row>
    <row collapsed="false" customFormat="false" customHeight="false" hidden="false" ht="12.1" outlineLevel="0" r="332">
      <c r="A332" s="5" t="s">
        <f>=HYPERLINK("https://leilaoonline.com.br/lote/detalhe/145750", "1410")</f>
      </c>
      <c r="B332" s="4" t="s">
        <f>=HYPERLINK("https://leilaoonline.com.br/lote/detalhe/145750", " GOV-024-2022. - APROX. 164 ITENS. - ELEMENTO FILTR 11448509 VOLVO, PORCA 5100-001793 EMPRETEC, DISJUNTOR 230324 LORAM; E OUTROS, VEJA DESCRITIVO DE ITENS. - LOC. GOVERNADOR VALADARES/MG")</f>
      </c>
      <c r="C332" s="4" t="inlineStr">
        <is>
          <t>Não vendido</t>
        </is>
      </c>
      <c r="D332" s="4" t="inlineStr">
        <is>
          <t>1</t>
        </is>
      </c>
      <c r="E332" s="5" t="inlineStr">
        <is>
          <t>500,00</t>
        </is>
      </c>
      <c r="F332" s="4" t="inlineStr">
        <is>
          <t>100.00</t>
        </is>
      </c>
    </row>
    <row collapsed="false" customFormat="false" customHeight="false" hidden="false" ht="12.1" outlineLevel="0" r="333">
      <c r="A333" s="5" t="s">
        <f>=HYPERLINK("https://leilaoonline.com.br/lote/detalhe/145745", "1411")</f>
      </c>
      <c r="B333" s="4" t="s">
        <f>=HYPERLINK("https://leilaoonline.com.br/lote/detalhe/145745", " GOV-027-2022-RG136-138 - APROX. 664 ITENS. - CORREIA V 5/16POL 1/2POL, CONECTOR 35626540 KOMATSU, GUIA 131527 LORAM; E OUTROS, VEJA DESCRITIVO DE ITENS. - LOC. GOVERNADOR VALADARES/MG")</f>
      </c>
      <c r="C333" s="4" t="inlineStr">
        <is>
          <t>Não vendido</t>
        </is>
      </c>
      <c r="D333" s="4" t="inlineStr">
        <is>
          <t>4</t>
        </is>
      </c>
      <c r="E333" s="5" t="inlineStr">
        <is>
          <t>800,00</t>
        </is>
      </c>
      <c r="F333" s="4" t="inlineStr">
        <is>
          <t>100.00</t>
        </is>
      </c>
    </row>
    <row collapsed="false" customFormat="false" customHeight="false" hidden="false" ht="12.1" outlineLevel="0" r="334">
      <c r="A334" s="5" t="s">
        <f>=HYPERLINK("https://leilaoonline.com.br/lote/detalhe/145747", "1412")</f>
      </c>
      <c r="B334" s="4" t="s">
        <f>=HYPERLINK("https://leilaoonline.com.br/lote/detalhe/145747", " GOV-032-2022. - APROX. 1564 ITENS. - FILTRO FLUIDO OLEO LUBRIF, POLIA 6N4399 CATERPILLAR, ROLAMENTO ESF 6216 C3 SKF; E OUTROS, VEJA DESCRITIVO DE ITENS. - LOC. GOVERNADOR VALADARES/MG")</f>
      </c>
      <c r="C334" s="4" t="inlineStr">
        <is>
          <t>Não vendido</t>
        </is>
      </c>
      <c r="D334" s="4" t="inlineStr">
        <is>
          <t>26</t>
        </is>
      </c>
      <c r="E334" s="5" t="inlineStr">
        <is>
          <t>4.800,00</t>
        </is>
      </c>
      <c r="F334" s="4" t="inlineStr">
        <is>
          <t>200.00</t>
        </is>
      </c>
    </row>
    <row collapsed="false" customFormat="false" customHeight="false" hidden="false" ht="12.1" outlineLevel="0" r="335">
      <c r="A335" s="5" t="s">
        <f>=HYPERLINK("https://leilaoonline.com.br/lote/detalhe/145739", "1413")</f>
      </c>
      <c r="B335" s="4" t="s">
        <f>=HYPERLINK("https://leilaoonline.com.br/lote/detalhe/145739", " GOV-033-2022. - APROX. 10 ITENS. - MOTO VIBRADOR PE DE PATO GEISMAR, MAQUINA DE SOLDA MODELO: GS425 NM; MARCA: PRODELEC; E OUTROS, VEJA DESCRITIVO DE ITENS. - LOC. GOVERNADOR VALADARES/MG")</f>
      </c>
      <c r="C335" s="4" t="inlineStr">
        <is>
          <t>Não vendido</t>
        </is>
      </c>
      <c r="D335" s="4" t="inlineStr">
        <is>
          <t>30</t>
        </is>
      </c>
      <c r="E335" s="5" t="inlineStr">
        <is>
          <t>7.700,00</t>
        </is>
      </c>
      <c r="F335" s="4" t="inlineStr">
        <is>
          <t>200.00</t>
        </is>
      </c>
    </row>
    <row collapsed="false" customFormat="false" customHeight="false" hidden="false" ht="12.1" outlineLevel="0" r="336">
      <c r="A336" s="5" t="s">
        <f>=HYPERLINK("https://leilaoonline.com.br/lote/detalhe/145735", "1414")</f>
      </c>
      <c r="B336" s="4" t="s">
        <f>=HYPERLINK("https://leilaoonline.com.br/lote/detalhe/145735", " GOV-034-2022. - APROX. 2790 ITENS. - ROLO APOIO UD80.304 PLASSER, MOLA 148352 LORAM, TOMADA 151794 LORAM; E OUTROS, VEJA DESCRITIVO DE ITENS. - LOC. GOVERNADOR VALADARES/MG")</f>
      </c>
      <c r="C336" s="4" t="inlineStr">
        <is>
          <t>Não vendido</t>
        </is>
      </c>
      <c r="D336" s="4" t="inlineStr">
        <is>
          <t>3</t>
        </is>
      </c>
      <c r="E336" s="5" t="inlineStr">
        <is>
          <t>700,00</t>
        </is>
      </c>
      <c r="F336" s="4" t="inlineStr">
        <is>
          <t>100.00</t>
        </is>
      </c>
    </row>
    <row collapsed="false" customFormat="false" customHeight="false" hidden="false" ht="12.1" outlineLevel="0" r="337">
      <c r="A337" s="5" t="s">
        <f>=HYPERLINK("https://leilaoonline.com.br/lote/detalhe/145734", "1415")</f>
      </c>
      <c r="B337" s="4" t="s">
        <f>=HYPERLINK("https://leilaoonline.com.br/lote/detalhe/145734", " GOV-035-2022. - APROX. 12 ITENS. - MACACO HIDRAULICO PARA LEVANTE DE LINHA MOD A17, MOTO SERRA; 63CM; SABRE; E OUTROS, VEJA DESCRITIVO DE ITENS. - LOC. GOVERNADOR VALADARES/MG")</f>
      </c>
      <c r="C337" s="4" t="inlineStr">
        <is>
          <t>Não vendido</t>
        </is>
      </c>
      <c r="D337" s="4" t="inlineStr">
        <is>
          <t>9</t>
        </is>
      </c>
      <c r="E337" s="5" t="inlineStr">
        <is>
          <t>1.400,00</t>
        </is>
      </c>
      <c r="F337" s="4" t="inlineStr">
        <is>
          <t>200.00</t>
        </is>
      </c>
    </row>
    <row collapsed="false" customFormat="false" customHeight="false" hidden="false" ht="12.1" outlineLevel="0" r="338">
      <c r="A338" s="5" t="s">
        <f>=HYPERLINK("https://leilaoonline.com.br/lote/detalhe/145740", "1416")</f>
      </c>
      <c r="B338" s="4" t="s">
        <f>=HYPERLINK("https://leilaoonline.com.br/lote/detalhe/145740", " GOV-036-2022. - 3 MAQUINAS DE ESMERILHAR TRILHOS, 1 ESMERILHADEIRA DE BOLETO HIDRAULICA, 1 GERADOR SOCARIA ELETRICA. - LOC. GOVERNADOR VALADARES/MG")</f>
      </c>
      <c r="C338" s="4" t="inlineStr">
        <is>
          <t>Não vendido</t>
        </is>
      </c>
      <c r="D338" s="4" t="inlineStr">
        <is>
          <t>11</t>
        </is>
      </c>
      <c r="E338" s="5" t="inlineStr">
        <is>
          <t>1.700,00</t>
        </is>
      </c>
      <c r="F338" s="4" t="inlineStr">
        <is>
          <t>200.00</t>
        </is>
      </c>
    </row>
    <row collapsed="false" customFormat="false" customHeight="false" hidden="false" ht="12.1" outlineLevel="0" r="339">
      <c r="A339" s="5" t="s">
        <f>=HYPERLINK("https://leilaoonline.com.br/lote/detalhe/145749", "1417")</f>
      </c>
      <c r="B339" s="4" t="s">
        <f>=HYPERLINK("https://leilaoonline.com.br/lote/detalhe/145749", " GOV-037-2022. - 3 CADEIRAS STAFF ESTOF ESPALD MED GIRAT C/ BRAÇOS, 3 CONJUNTOS DE CADEIRAS, 1 CADEIRA GIRATORIA OPERACIONAL COMPLETA. - LOC. GOVERNADOR VALADARES/MG")</f>
      </c>
      <c r="C339" s="4" t="inlineStr">
        <is>
          <t>Não vendido</t>
        </is>
      </c>
      <c r="D339" s="4" t="inlineStr">
        <is>
          <t>0</t>
        </is>
      </c>
      <c r="E339" s="5" t="inlineStr">
        <is>
          <t>500,00</t>
        </is>
      </c>
      <c r="F339" s="4" t="inlineStr">
        <is>
          <t>100.00</t>
        </is>
      </c>
    </row>
    <row collapsed="false" customFormat="false" customHeight="false" hidden="false" ht="12.1" outlineLevel="0" r="340">
      <c r="A340" s="5" t="s">
        <f>=HYPERLINK("https://leilaoonline.com.br/lote/detalhe/145737", "1418")</f>
      </c>
      <c r="B340" s="4" t="s">
        <f>=HYPERLINK("https://leilaoonline.com.br/lote/detalhe/145737", " GOV-038-2022. - 1 MAQUINA DE SOLDA ELETRODO RETIFICADOR BAMBOZZI / TRR2750NM-DF. - LOC. GOVERNADOR VALADARES/MG")</f>
      </c>
      <c r="C340" s="4" t="inlineStr">
        <is>
          <t>Vendido</t>
        </is>
      </c>
      <c r="D340" s="4" t="inlineStr">
        <is>
          <t>32</t>
        </is>
      </c>
      <c r="E340" s="5" t="inlineStr">
        <is>
          <t>4.200,00</t>
        </is>
      </c>
      <c r="F340" s="4" t="inlineStr">
        <is>
          <t>250.00</t>
        </is>
      </c>
    </row>
    <row collapsed="false" customFormat="false" customHeight="false" hidden="false" ht="12.1" outlineLevel="0" r="341">
      <c r="A341" s="5" t="s">
        <f>=HYPERLINK("https://leilaoonline.com.br/lote/detalhe/145748", "1419")</f>
      </c>
      <c r="B341" s="4" t="s">
        <f>=HYPERLINK("https://leilaoonline.com.br/lote/detalhe/145748", " GOV-041-2022. - APROX. 81 ITENS. - ARRUELA 144B-22-00020 SUMIN, EIXO UD25.1102 PLASSER, DESSECANTE 110684 LORAM; E OUTROS, VEJA DESCRITIVO DE ITENS. - LOC. GOVERNADOR VALADARES/MG")</f>
      </c>
      <c r="C341" s="4" t="inlineStr">
        <is>
          <t>Não vendido</t>
        </is>
      </c>
      <c r="D341" s="4" t="inlineStr">
        <is>
          <t>1</t>
        </is>
      </c>
      <c r="E341" s="5" t="inlineStr">
        <is>
          <t>500,00</t>
        </is>
      </c>
      <c r="F341" s="4" t="inlineStr">
        <is>
          <t>100.00</t>
        </is>
      </c>
    </row>
    <row collapsed="false" customFormat="false" customHeight="false" hidden="false" ht="12.1" outlineLevel="0" r="342">
      <c r="A342" s="5" t="s">
        <f>=HYPERLINK("https://leilaoonline.com.br/lote/detalhe/145743", "1420")</f>
      </c>
      <c r="B342" s="4" t="s">
        <f>=HYPERLINK("https://leilaoonline.com.br/lote/detalhe/145743", " GOV-042-2022. - 10 BIOMBOS HOSPITALARES, 10 BALANÇAS ANTOPOMÉTRICA PARA PESSOAS (USO DOMÉSTICO). - LOC. GOVERNADOR VALADARES/MG")</f>
      </c>
      <c r="C342" s="4" t="inlineStr">
        <is>
          <t>Não vendido</t>
        </is>
      </c>
      <c r="D342" s="4" t="inlineStr">
        <is>
          <t>0</t>
        </is>
      </c>
      <c r="E342" s="5" t="inlineStr">
        <is>
          <t>500,00</t>
        </is>
      </c>
      <c r="F342" s="4" t="inlineStr">
        <is>
          <t>100.00</t>
        </is>
      </c>
    </row>
    <row collapsed="false" customFormat="false" customHeight="false" hidden="false" ht="12.1" outlineLevel="0" r="343">
      <c r="A343" s="5" t="s">
        <f>=HYPERLINK("https://leilaoonline.com.br/lote/detalhe/145742", "1421")</f>
      </c>
      <c r="B343" s="4" t="s">
        <f>=HYPERLINK("https://leilaoonline.com.br/lote/detalhe/145742", " GOV-043-2022. - 1 FREEZER PASS TROUGHT REFRIGERADO MACOM. - LOC. GOVERNADOR VALADARES/MG")</f>
      </c>
      <c r="C343" s="4" t="inlineStr">
        <is>
          <t>Não vendido</t>
        </is>
      </c>
      <c r="D343" s="4" t="inlineStr">
        <is>
          <t>0</t>
        </is>
      </c>
      <c r="E343" s="5" t="inlineStr">
        <is>
          <t>500,00</t>
        </is>
      </c>
      <c r="F343" s="4" t="inlineStr">
        <is>
          <t>100.00</t>
        </is>
      </c>
    </row>
    <row collapsed="false" customFormat="false" customHeight="false" hidden="false" ht="12.1" outlineLevel="0" r="344">
      <c r="A344" s="5" t="s">
        <f>=HYPERLINK("https://leilaoonline.com.br/lote/detalhe/145746", "1422")</f>
      </c>
      <c r="B344" s="4" t="s">
        <f>=HYPERLINK("https://leilaoonline.com.br/lote/detalhe/145746", " GOV-044-2022. - APROX. 110 ITENS. - GUARNICAO HY6RSD-DS PLASSER, SENSR 323.803/001/006 PLASSER, FAROL 1G3 005 760-021 HELLA; E OUTROS, VEJA DESCRITIVO DE ITENS. - LOC. GOVERNADOR VALADARES/MG")</f>
      </c>
      <c r="C344" s="4" t="inlineStr">
        <is>
          <t>Não vendido</t>
        </is>
      </c>
      <c r="D344" s="4" t="inlineStr">
        <is>
          <t>1</t>
        </is>
      </c>
      <c r="E344" s="5" t="inlineStr">
        <is>
          <t>500,00</t>
        </is>
      </c>
      <c r="F344" s="4" t="inlineStr">
        <is>
          <t>100.00</t>
        </is>
      </c>
    </row>
    <row collapsed="false" customFormat="false" customHeight="false" hidden="false" ht="12.1" outlineLevel="0" r="345">
      <c r="A345" s="5" t="s">
        <f>=HYPERLINK("https://leilaoonline.com.br/lote/detalhe/145738", "1423")</f>
      </c>
      <c r="B345" s="4" t="s">
        <f>=HYPERLINK("https://leilaoonline.com.br/lote/detalhe/145738", " GOV-045-2022. -  APROX. 3721 ITENS. - TESTE ELETRICO SCANIA, ACOPLAMENTO - MATISA, ROLER MATISA; E OUTROS, VEJA DESCRITIVO DE ITENS. - LOC. GOVERNADOR VALADARES/MG")</f>
      </c>
      <c r="C345" s="4" t="inlineStr">
        <is>
          <t>Não vendido</t>
        </is>
      </c>
      <c r="D345" s="4" t="inlineStr">
        <is>
          <t>4</t>
        </is>
      </c>
      <c r="E345" s="5" t="inlineStr">
        <is>
          <t>800,00</t>
        </is>
      </c>
      <c r="F345" s="4" t="inlineStr">
        <is>
          <t>100.00</t>
        </is>
      </c>
    </row>
    <row collapsed="false" customFormat="false" customHeight="false" hidden="false" ht="12.1" outlineLevel="0" r="346">
      <c r="A346" s="5" t="s">
        <f>=HYPERLINK("https://leilaoonline.com.br/lote/detalhe/145744", "1424")</f>
      </c>
      <c r="B346" s="4" t="s">
        <f>=HYPERLINK("https://leilaoonline.com.br/lote/detalhe/145744", " GOV-046-2022. - APROX. 505 ITENS. - BASE DE RELÉ SCHNEIDER BOTOEIRA VERMELHA, TOMADA; E OUTROS, VEJA DESCRITIVO DE ITENS. - LOC. GOVERNADOR VALADARES/MG")</f>
      </c>
      <c r="C346" s="4" t="inlineStr">
        <is>
          <t>Não vendido</t>
        </is>
      </c>
      <c r="D346" s="4" t="inlineStr">
        <is>
          <t>1</t>
        </is>
      </c>
      <c r="E346" s="5" t="inlineStr">
        <is>
          <t>500,00</t>
        </is>
      </c>
      <c r="F346" s="4" t="inlineStr">
        <is>
          <t>100.00</t>
        </is>
      </c>
    </row>
    <row collapsed="false" customFormat="false" customHeight="false" hidden="false" ht="12.1" outlineLevel="0" r="347">
      <c r="A347" s="5" t="s">
        <f>=HYPERLINK("https://leilaoonline.com.br/lote/detalhe/145751", "1425")</f>
      </c>
      <c r="B347" s="4" t="s">
        <f>=HYPERLINK("https://leilaoonline.com.br/lote/detalhe/145751", " GOV-047-2022. - APROX. 460 ITENS. - ROLAMENTO FAG, JOYSTICK SCHNEIDER, BUCHA PLASSER; E OUTROS, VEJA DESCRITIVO DE ITENS. - LOC. GOVERNADOR VALADARES/MG")</f>
      </c>
      <c r="C347" s="4" t="inlineStr">
        <is>
          <t>Não vendido</t>
        </is>
      </c>
      <c r="D347" s="4" t="inlineStr">
        <is>
          <t>11</t>
        </is>
      </c>
      <c r="E347" s="5" t="inlineStr">
        <is>
          <t>1.700,00</t>
        </is>
      </c>
      <c r="F347" s="4" t="inlineStr">
        <is>
          <t>200.00</t>
        </is>
      </c>
    </row>
    <row collapsed="false" customFormat="false" customHeight="false" hidden="false" ht="12.1" outlineLevel="0" r="348">
      <c r="A348" s="5" t="s">
        <f>=HYPERLINK("https://leilaoonline.com.br/lote/detalhe/145753", "1426")</f>
      </c>
      <c r="B348" s="4" t="s">
        <f>=HYPERLINK("https://leilaoonline.com.br/lote/detalhe/145753", " GOV-048-2022. - APROX. 1745 ITENS. - MICRO CHAVE SCHNEIDER, PARAFUSO SEXTAVADO, COXIM DE BORRAHA; E OUTROS, VEJA DESCRITIVO DE ITENS. - LOC. GOVERNADOR VALADARES/MG ")</f>
      </c>
      <c r="C348" s="4" t="inlineStr">
        <is>
          <t>Não vendido</t>
        </is>
      </c>
      <c r="D348" s="4" t="inlineStr">
        <is>
          <t>4</t>
        </is>
      </c>
      <c r="E348" s="5" t="inlineStr">
        <is>
          <t>800,00</t>
        </is>
      </c>
      <c r="F348" s="4" t="inlineStr">
        <is>
          <t>100.00</t>
        </is>
      </c>
    </row>
    <row collapsed="false" customFormat="false" customHeight="false" hidden="false" ht="12.1" outlineLevel="0" r="349">
      <c r="A349" s="5" t="s">
        <f>=HYPERLINK("https://leilaoonline.com.br/lote/detalhe/145752", "1427")</f>
      </c>
      <c r="B349" s="4" t="s">
        <f>=HYPERLINK("https://leilaoonline.com.br/lote/detalhe/145752", " GOV-049-2022. - APROX. 1341 ITENS. - PARAFUSO CAB SEXT 3/16POL, BUCHA RED FERR MAL 2.1/2POL, BOLA MOINHO 69 60MM; E OUTROS, VEJA DESCRITIVO DE ITENS. - LOC. GOVERNADOR VALADARES/MG ")</f>
      </c>
      <c r="C349" s="4" t="inlineStr">
        <is>
          <t>Não vendido</t>
        </is>
      </c>
      <c r="D349" s="4" t="inlineStr">
        <is>
          <t>1</t>
        </is>
      </c>
      <c r="E349" s="5" t="inlineStr">
        <is>
          <t>500,00</t>
        </is>
      </c>
      <c r="F349" s="4" t="inlineStr">
        <is>
          <t>100.00</t>
        </is>
      </c>
    </row>
    <row collapsed="false" customFormat="false" customHeight="false" hidden="false" ht="12.1" outlineLevel="0" r="350">
      <c r="A350" s="5" t="s">
        <f>=HYPERLINK("https://leilaoonline.com.br/lote/detalhe/145755", "1428")</f>
      </c>
      <c r="B350" s="4" t="s">
        <f>=HYPERLINK("https://leilaoonline.com.br/lote/detalhe/145755", " GOV-052-2022. - APROX. 11 ITENS. - MAQUINA MOTO VIBRADOR PE DE PATO, VIBRADOR ELETRICO MANUAL; E OUTROS, VEJA DESCRITIVO DE ITENS. - LOC. GOVERNADOR VALADARES/MG")</f>
      </c>
      <c r="C350" s="4" t="inlineStr">
        <is>
          <t>Não vendido</t>
        </is>
      </c>
      <c r="D350" s="4" t="inlineStr">
        <is>
          <t>13</t>
        </is>
      </c>
      <c r="E350" s="5" t="inlineStr">
        <is>
          <t>2.300,00</t>
        </is>
      </c>
      <c r="F350" s="4" t="inlineStr">
        <is>
          <t>200.00</t>
        </is>
      </c>
    </row>
    <row collapsed="false" customFormat="false" customHeight="false" hidden="false" ht="12.1" outlineLevel="0" r="351">
      <c r="A351" s="5" t="s">
        <f>=HYPERLINK("https://leilaoonline.com.br/lote/detalhe/145754", "1429")</f>
      </c>
      <c r="B351" s="4" t="s">
        <f>=HYPERLINK("https://leilaoonline.com.br/lote/detalhe/145754", " GOV-053-2022. - APROX. 2092 ITENS. - PARAFUSO M20X60DIN604-4.6/VERZ. PLASSER, BUCHA DL12.06BR PLASSER, PORCA 14MM; E OUTROS, VEJA DESCRITIVO DE ITENS. - LOC. GOVERNADOR VALADARES/MG")</f>
      </c>
      <c r="C351" s="4" t="inlineStr">
        <is>
          <t>Vendido</t>
        </is>
      </c>
      <c r="D351" s="4" t="inlineStr">
        <is>
          <t>22</t>
        </is>
      </c>
      <c r="E351" s="5" t="inlineStr">
        <is>
          <t>4.000,00</t>
        </is>
      </c>
      <c r="F351" s="4" t="inlineStr">
        <is>
          <t>200.00</t>
        </is>
      </c>
    </row>
    <row collapsed="false" customFormat="false" customHeight="false" hidden="false" ht="12.1" outlineLevel="0" r="352">
      <c r="A352" s="5" t="s">
        <f>=HYPERLINK("https://leilaoonline.com.br/lote/detalhe/145758", "1430")</f>
      </c>
      <c r="B352" s="4" t="s">
        <f>=HYPERLINK("https://leilaoonline.com.br/lote/detalhe/145758", "VIGA-046-2022 - APROX. 151 UNIDADES DE PROTETOR CAMARA AR - LOC: CONGONHAS/MG")</f>
      </c>
      <c r="C352" s="4" t="inlineStr">
        <is>
          <t>Vendido</t>
        </is>
      </c>
      <c r="D352" s="4" t="inlineStr">
        <is>
          <t>14</t>
        </is>
      </c>
      <c r="E352" s="5" t="inlineStr">
        <is>
          <t>2.300,00</t>
        </is>
      </c>
      <c r="F35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2026-04-15T10:39:07.00Z</dcterms:created>
  <dc:creator>Tellks Tecnologia</dc:creator>
  <cp:revision>0</cp:revision>
</cp:coreProperties>
</file>