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(+ 500 LOTES) CAMINHÕES, MÁQUINAS PESADAS, EMPILHADEIRAS,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=HYPERLINK("https://leilaoonline.com.br/lote/detalhe/57625", "001")</f>
      </c>
      <c r="B11" s="4" t="s">
        <f>=HYPERLINK("https://leilaoonline.com.br/lote/detalhe/57625", "082-028-2020 - Moto HONDA CG FAN 125 ANO: 2007 - PLACA:  MRP-5834")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=HYPERLINK("https://leilaoonline.com.br/lote/detalhe/57626", "002")</f>
      </c>
      <c r="B12" s="4" t="s">
        <f>=HYPERLINK("https://leilaoonline.com.br/lote/detalhe/57626", "082-029-2020 - Moto HONDA CG FAN 125 ANO: 2007 - PLACA:  MRP-5833")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=HYPERLINK("https://leilaoonline.com.br/lote/detalhe/57623", "004")</f>
      </c>
      <c r="B13" s="4" t="s">
        <f>=HYPERLINK("https://leilaoonline.com.br/lote/detalhe/57623", "082-019-2020 - Veículo FIAT PALIO ELX FLEX ANO: 2005 PLACA MQN-7568")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=HYPERLINK("https://leilaoonline.com.br/lote/detalhe/57634", "005")</f>
      </c>
      <c r="B14" s="4" t="s">
        <f>=HYPERLINK("https://leilaoonline.com.br/lote/detalhe/57634", "ACD-003-2020 - CAMINHONETE MMC/L200, SPORT 4X4 HPE, ANO 2004., IMB 1000834532-  LOC.Açailândia-MA LOC.Açailândia-MA")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=HYPERLINK("https://leilaoonline.com.br/lote/detalhe/56869", "006")</f>
      </c>
      <c r="B15" s="4" t="s">
        <f>=HYPERLINK("https://leilaoonline.com.br/lote/detalhe/56869", "SLS-NXH7882-2020 - AMBULÂNCIA FORD, TRANSIT UNIVIDA, ANO 2011, IMB. 1000666034- LOC. São Luis / MA")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=HYPERLINK("https://leilaoonline.com.br/lote/detalhe/58175", "007")</f>
      </c>
      <c r="B16" s="4" t="s">
        <f>=HYPERLINK("https://leilaoonline.com.br/lote/detalhe/58175", "PIC-154-2019 -M.BENZ SPRINTER 313 CDI, ANO 2007/2008")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=HYPERLINK("https://leilaoonline.com.br/lote/detalhe/58176", "008")</f>
      </c>
      <c r="B17" s="4" t="s">
        <f>=HYPERLINK("https://leilaoonline.com.br/lote/detalhe/58176", "MUT-MBR-085-2020 - M.BENZ SPRINTER 313 CDI, ANO 2005")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=HYPERLINK("https://leilaoonline.com.br/lote/detalhe/57637", "009")</f>
      </c>
      <c r="B18" s="4" t="s">
        <f>=HYPERLINK("https://leilaoonline.com.br/lote/detalhe/57637", "082-034-2020 - VEÍCULO Utilitário MERCEDES BENZ 312 D ANO: 2001 PLACA: MTG-1897")</f>
      </c>
      <c r="C18" s="4" t="inlineStr">
        <is>
          <t>Vendido</t>
        </is>
      </c>
      <c r="D18" s="4" t="inlineStr">
        <is>
          <t>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=HYPERLINK("https://leilaoonline.com.br/lote/detalhe/57624", "010")</f>
      </c>
      <c r="B19" s="4" t="s">
        <f>=HYPERLINK("https://leilaoonline.com.br/lote/detalhe/57624", "ACD-005-2020- AMBULÂNCIA I/M.BENZ, Riberauto, ANO 2006, IMB.1000581305- LOC. Açailândia-MA")</f>
      </c>
      <c r="C19" s="4" t="inlineStr">
        <is>
          <t>Vendido</t>
        </is>
      </c>
      <c r="D19" s="4" t="inlineStr">
        <is>
          <t>50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=HYPERLINK("https://leilaoonline.com.br/lote/detalhe/57627", "011")</f>
      </c>
      <c r="B20" s="4" t="s">
        <f>=HYPERLINK("https://leilaoonline.com.br/lote/detalhe/57627", "ACD-006-2020 - AMBULÂNCIA I/M.BENZ 313 CDI, SPRINTER F, ANO 2006, IMB.1000581304- LOC. Açailândia-MA")</f>
      </c>
      <c r="C20" s="4" t="inlineStr">
        <is>
          <t>Vendido</t>
        </is>
      </c>
      <c r="D20" s="4" t="inlineStr">
        <is>
          <t>46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=HYPERLINK("https://leilaoonline.com.br/lote/detalhe/57635", "017")</f>
      </c>
      <c r="B21" s="4" t="s">
        <f>=HYPERLINK("https://leilaoonline.com.br/lote/detalhe/57635", "MARAB-008-2020 - CAMINHÃO Mercedes Benz, L 1620, ANO 2003, PLACA: JUS-4252 - IMB.1000852949- LOC. MARABÁ - PA 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=HYPERLINK("https://leilaoonline.com.br/lote/detalhe/56866", "018")</f>
      </c>
      <c r="B22" s="4" t="s">
        <f>=HYPERLINK("https://leilaoonline.com.br/lote/detalhe/56866", "MCR-070-2020- CAMINHÃO ATEGO 1725 MBB, ANO 2006, PLACA: HSJ-7527 - IMB. 1000025172- LOC. CORUMBA/MS")</f>
      </c>
      <c r="C22" s="4" t="inlineStr">
        <is>
          <t>Vendido</t>
        </is>
      </c>
      <c r="D22" s="4" t="inlineStr">
        <is>
          <t>81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=HYPERLINK("https://leilaoonline.com.br/lote/detalhe/56905", "019")</f>
      </c>
      <c r="B23" s="4" t="s">
        <f>=HYPERLINK("https://leilaoonline.com.br/lote/detalhe/56905", "082-069-2020 - Caminhão basculante MERCEDES BENZ AXOR 2831K 6x4 ANO: 2013 PLACA: OVF-3778")</f>
      </c>
      <c r="C23" s="4" t="inlineStr">
        <is>
          <t>Vendido</t>
        </is>
      </c>
      <c r="D23" s="4" t="inlineStr">
        <is>
          <t>110</t>
        </is>
      </c>
      <c r="E23" s="5" t="inlineStr">
        <is>
          <t>156.000,00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=HYPERLINK("https://leilaoonline.com.br/lote/detalhe/58160", "026")</f>
      </c>
      <c r="B24" s="4" t="s">
        <f>=HYPERLINK("https://leilaoonline.com.br/lote/detalhe/58160", "PIC-MBR-258-2020 - CAMINHÃO 15.180 POLI C/ MUNCK, ANO 2005/2005 - PLACA: HCQ 7390")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=HYPERLINK("https://leilaoonline.com.br/lote/detalhe/58177", "029")</f>
      </c>
      <c r="B25" s="4" t="s">
        <f>=HYPERLINK("https://leilaoonline.com.br/lote/detalhe/58177", "MCR-217-2019 - CAMINHÃO GINAF BASCULANTE 10X6 HD5395TS, ANO 2015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54.000,00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=HYPERLINK("https://leilaoonline.com.br/lote/detalhe/58178", "030")</f>
      </c>
      <c r="B26" s="4" t="s">
        <f>=HYPERLINK("https://leilaoonline.com.br/lote/detalhe/58178", "MCR-080-2020 - CAMINHÃO SCANIA P420 10X4 BASCULANTE, ANO 2011")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=HYPERLINK("https://leilaoonline.com.br/lote/detalhe/58179", "031")</f>
      </c>
      <c r="B27" s="4" t="s">
        <f>=HYPERLINK("https://leilaoonline.com.br/lote/detalhe/58179", "MCR-079-2020 - CAMINHÃO SCANIA P420 8X4 BASCULANTE, ANO 2011 - PLACA NRS6132 ")</f>
      </c>
      <c r="C27" s="4" t="inlineStr">
        <is>
          <t>Vendido</t>
        </is>
      </c>
      <c r="D27" s="4" t="inlineStr">
        <is>
          <t>96</t>
        </is>
      </c>
      <c r="E27" s="5" t="inlineStr">
        <is>
          <t>67.000,00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=HYPERLINK("https://leilaoonline.com.br/lote/detalhe/58180", "032")</f>
      </c>
      <c r="B28" s="4" t="s">
        <f>=HYPERLINK("https://leilaoonline.com.br/lote/detalhe/58180", "MCR-078-2020 - CAMINHÃO SCANIA P420 6X4 BASCULANTE, ANO 2011 - PLACA:  NRU0386 ")</f>
      </c>
      <c r="C28" s="4" t="inlineStr">
        <is>
          <t>Vendido</t>
        </is>
      </c>
      <c r="D28" s="4" t="inlineStr">
        <is>
          <t>92</t>
        </is>
      </c>
      <c r="E28" s="5" t="inlineStr">
        <is>
          <t>68.000,00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=HYPERLINK("https://leilaoonline.com.br/lote/detalhe/58181", "033")</f>
      </c>
      <c r="B29" s="4" t="s">
        <f>=HYPERLINK("https://leilaoonline.com.br/lote/detalhe/58181", "MCR-077-2020 - CAMINHÃO SCANIA P420 6X4 BASCULANTE, ANO 2010 PLACA: NRS6122")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=HYPERLINK("https://leilaoonline.com.br/lote/detalhe/58182", "034")</f>
      </c>
      <c r="B30" s="4" t="s">
        <f>=HYPERLINK("https://leilaoonline.com.br/lote/detalhe/58182", "BRU-CP9121-2020 - CAMINHÃO SCANIA G440 8X4 BASCULANTE, ANO 2013 - PLACA: OQY-5047  - FINAL DE VIDA ÚTIL")</f>
      </c>
      <c r="C30" s="4" t="inlineStr">
        <is>
          <t>Vendido</t>
        </is>
      </c>
      <c r="D30" s="4" t="inlineStr">
        <is>
          <t>95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=HYPERLINK("https://leilaoonline.com.br/lote/detalhe/56859", "051")</f>
      </c>
      <c r="B31" s="4" t="s">
        <f>=HYPERLINK("https://leilaoonline.com.br/lote/detalhe/56859", "MCR-058-2020- CAMINHÃO SCANIA  10x4, 480- ANO 2014, IMB.1000023677- LOC. Corumbá/MS")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=HYPERLINK("https://leilaoonline.com.br/lote/detalhe/56860", "052")</f>
      </c>
      <c r="B32" s="4" t="s">
        <f>=HYPERLINK("https://leilaoonline.com.br/lote/detalhe/56860", "MCR-059-2020- CAMINHÃO SCANIA  10x4, 480- ANO 2014, IMB.1000023684- LOC.Corumbá/MS 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=HYPERLINK("https://leilaoonline.com.br/lote/detalhe/56861", "053")</f>
      </c>
      <c r="B33" s="4" t="s">
        <f>=HYPERLINK("https://leilaoonline.com.br/lote/detalhe/56861", "MCR-060-2020 - CAMINHÃO SCANIA   10x4, 480- ANO 2014, IMB.1000023688-LOC.Corumbá/MS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=HYPERLINK("https://leilaoonline.com.br/lote/detalhe/56862", "054")</f>
      </c>
      <c r="B34" s="4" t="s">
        <f>=HYPERLINK("https://leilaoonline.com.br/lote/detalhe/56862", "MCR-061-2020 - CAMINHÃO  10x4, 480- ANO 2014, ANO 2011, IMB.1000025085- LOC.Corumbá/MS")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34.750,00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=HYPERLINK("https://leilaoonline.com.br/lote/detalhe/56863", "055")</f>
      </c>
      <c r="B35" s="4" t="s">
        <f>=HYPERLINK("https://leilaoonline.com.br/lote/detalhe/56863", "MCR-067-2020 - CAMINHÃO SCANIA   10x4, 480- ANO 2014, IMB. 1000023682- LOC. Corumbá/MS")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=HYPERLINK("https://leilaoonline.com.br/lote/detalhe/56864", "057")</f>
      </c>
      <c r="B36" s="4" t="s">
        <f>=HYPERLINK("https://leilaoonline.com.br/lote/detalhe/56864", "MCR-068-2020- CAMINHÃO SCANIA  8x4, 400- ANO 2005, PLACA: HSE-4798 - IMB. 1000025223- LOC.Corumbá/MS 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=HYPERLINK("https://leilaoonline.com.br/lote/detalhe/56783", "058")</f>
      </c>
      <c r="B37" s="4" t="s">
        <f>=HYPERLINK("https://leilaoonline.com.br/lote/detalhe/56783", "MCR-011-2020 - Caminhão SCANIA 10x4, MOD. 480, ANO 2014, IMB.1000023685")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=HYPERLINK("https://leilaoonline.com.br/lote/detalhe/56785", "059")</f>
      </c>
      <c r="B38" s="4" t="s">
        <f>=HYPERLINK("https://leilaoonline.com.br/lote/detalhe/56785", "MCR-012-2020 - Caminhão SCANIA 10x4, MOD. 480, ANO 2014,IMB. 1000023686, Corumbá/MS")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25.250,00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=HYPERLINK("https://leilaoonline.com.br/lote/detalhe/56865", "060")</f>
      </c>
      <c r="B39" s="4" t="s">
        <f>=HYPERLINK("https://leilaoonline.com.br/lote/detalhe/56865", "MCR-069-2020- CAMINHÃO SCANIA  8x4, 400- ANO 2003, PLACA: HRY-9925 - IMB.1000025202- LOC. CORUMBA/MS")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24.250,00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=HYPERLINK("https://leilaoonline.com.br/lote/detalhe/56786", "061")</f>
      </c>
      <c r="B40" s="4" t="s">
        <f>=HYPERLINK("https://leilaoonline.com.br/lote/detalhe/56786", "MCR-013-2020 - Caminhão SCANIA 10x4, MOD. 480, ANO 2014,IMB.1000027163, LOC.Corumbá/MS")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35.250,00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=HYPERLINK("https://leilaoonline.com.br/lote/detalhe/56787", "062")</f>
      </c>
      <c r="B41" s="4" t="s">
        <f>=HYPERLINK("https://leilaoonline.com.br/lote/detalhe/56787", "MCR-014-2020 - Caminhão SCANIA 10x4, MOD. 480, ANO 2014, IMB.1000023678, LOC. Corumbá/MS")</f>
      </c>
      <c r="C41" s="4" t="inlineStr">
        <is>
          <t>Vendido</t>
        </is>
      </c>
      <c r="D41" s="4" t="inlineStr">
        <is>
          <t>37</t>
        </is>
      </c>
      <c r="E41" s="5" t="inlineStr">
        <is>
          <t>48.250,00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=HYPERLINK("https://leilaoonline.com.br/lote/detalhe/56788", "063")</f>
      </c>
      <c r="B42" s="4" t="s">
        <f>=HYPERLINK("https://leilaoonline.com.br/lote/detalhe/56788", "MCR-015-2020 - Caminhão 10x4 SCANIA 10X4, MOD. 480, ANO 2014, IMB.1000023683,  LOC. Corumbá/MS")</f>
      </c>
      <c r="C42" s="4" t="inlineStr">
        <is>
          <t>Vendido</t>
        </is>
      </c>
      <c r="D42" s="4" t="inlineStr">
        <is>
          <t>76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=HYPERLINK("https://leilaoonline.com.br/lote/detalhe/58540", "073")</f>
      </c>
      <c r="B43" s="4" t="s">
        <f>=HYPERLINK("https://leilaoonline.com.br/lote/detalhe/58540", "AGLP-013-2020- EMPILHADEIRA HISTER, MOD. H155 - LOC. Rio Piracicaba / MG")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=HYPERLINK("https://leilaoonline.com.br/lote/detalhe/56779", "074")</f>
      </c>
      <c r="B44" s="4" t="s">
        <f>=HYPERLINK("https://leilaoonline.com.br/lote/detalhe/56779", " MCR-005-2020 - CAMINHÃO FORA DE ESTRADA MT436 ATLAS COPCO, ANO 2012, LOC. Corumbá/MS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=HYPERLINK("https://leilaoonline.com.br/lote/detalhe/58429", "075")</f>
      </c>
      <c r="B45" s="4" t="s">
        <f>=HYPERLINK("https://leilaoonline.com.br/lote/detalhe/58429", "PIC-260-2020 - CARREGADEIRA CATERPILLAR 980 ANO 2011 - LOC: ITABIRITO / MG")</f>
      </c>
      <c r="C45" s="4" t="inlineStr">
        <is>
          <t>Vendido</t>
        </is>
      </c>
      <c r="D45" s="4" t="inlineStr">
        <is>
          <t>64</t>
        </is>
      </c>
      <c r="E45" s="5" t="inlineStr">
        <is>
          <t>190.000,00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=HYPERLINK("https://leilaoonline.com.br/lote/detalhe/58541", "076")</f>
      </c>
      <c r="B46" s="4" t="s">
        <f>=HYPERLINK("https://leilaoonline.com.br/lote/detalhe/58541", "AGLP-PM6219-2020- CARREGADEIRA CATERPILLAR, MOD. 988H, ANO 2012, LOC. Rio Piracicaba / MG")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33.250,00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=HYPERLINK("https://leilaoonline.com.br/lote/detalhe/58156", "101")</f>
      </c>
      <c r="B47" s="4" t="s">
        <f>=HYPERLINK("https://leilaoonline.com.br/lote/detalhe/58156", "SLB-032-2020 - TRATOR DE ESTEIRA KOMATSU D375A, ANO 2009, SÉRIE 19258")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=HYPERLINK("https://leilaoonline.com.br/lote/detalhe/58155", "102")</f>
      </c>
      <c r="B48" s="4" t="s">
        <f>=HYPERLINK("https://leilaoonline.com.br/lote/detalhe/58155", "SLB-031-2020 - MOTONIVELADORA KOMATSU GD825A, ANO 2011, SÉRIE 12773")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73.000,00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=HYPERLINK("https://leilaoonline.com.br/lote/detalhe/58154", "103")</f>
      </c>
      <c r="B49" s="4" t="s">
        <f>=HYPERLINK("https://leilaoonline.com.br/lote/detalhe/58154", "SLB-030-2020 - MOTONIVELADORA KOMATSU GD825A, ANO 2010, SÉRIE 12654")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71.000,00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=HYPERLINK("https://leilaoonline.com.br/lote/detalhe/58127", "104")</f>
      </c>
      <c r="B50" s="4" t="s">
        <f>=HYPERLINK("https://leilaoonline.com.br/lote/detalhe/58127", "SLB-029-2020 - MOTONIVELADORA KOMATSU GD825A, ANO 2009, SÉRIE 12461")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41.000,00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=HYPERLINK("https://leilaoonline.com.br/lote/detalhe/58126", "105")</f>
      </c>
      <c r="B51" s="4" t="s">
        <f>=HYPERLINK("https://leilaoonline.com.br/lote/detalhe/58126", "SLB-028-2020 - MOTONIVELADORA KOMATSU GD825A, ANO 2009, SÉRIE 12447")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=HYPERLINK("https://leilaoonline.com.br/lote/detalhe/58122", "106")</f>
      </c>
      <c r="B52" s="4" t="s">
        <f>=HYPERLINK("https://leilaoonline.com.br/lote/detalhe/58122", "SLB-027-2020 - MOTONIVELADORA KOMATSU GD825A, ANO 2009, SÉRIE 12469")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71.000,00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=HYPERLINK("https://leilaoonline.com.br/lote/detalhe/58112", "107")</f>
      </c>
      <c r="B53" s="4" t="s">
        <f>=HYPERLINK("https://leilaoonline.com.br/lote/detalhe/58112", "SLB-024-2020 - PÁ CARREGADEIRA KOMATSU WA600-6, ANO 2011, SÉRIE 60837")</f>
      </c>
      <c r="C53" s="4" t="inlineStr">
        <is>
          <t>Vendido</t>
        </is>
      </c>
      <c r="D53" s="4" t="inlineStr">
        <is>
          <t>129</t>
        </is>
      </c>
      <c r="E53" s="5" t="inlineStr">
        <is>
          <t>325.000,00</t>
        </is>
      </c>
      <c r="F53" s="4" t="inlineStr">
        <is>
          <t>5000.00</t>
        </is>
      </c>
    </row>
    <row collapsed="false" customFormat="false" customHeight="false" hidden="false" ht="12.1" outlineLevel="0" r="54">
      <c r="A54" s="5" t="s">
        <f>=HYPERLINK("https://leilaoonline.com.br/lote/detalhe/58111", "108")</f>
      </c>
      <c r="B54" s="4" t="s">
        <f>=HYPERLINK("https://leilaoonline.com.br/lote/detalhe/58111", "SLB-023-2020 - TRATOR DE PNEUS KOMATSU W600, ANO 2006, SÉRIE 50177")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=HYPERLINK("https://leilaoonline.com.br/lote/detalhe/58107", "109")</f>
      </c>
      <c r="B55" s="4" t="s">
        <f>=HYPERLINK("https://leilaoonline.com.br/lote/detalhe/58107", "082-103-2020 - PÁ CARREGADEIRA 962H, ANO 2000, SÉRIE CAT0962HEM3G00658")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=HYPERLINK("https://leilaoonline.com.br/lote/detalhe/58108", "110")</f>
      </c>
      <c r="B56" s="4" t="s">
        <f>=HYPERLINK("https://leilaoonline.com.br/lote/detalhe/58108", "SLB-020-2020 - ESCAVADEIRA KOMATSU PC 450, ANO 2009 SÉRIE 70363")</f>
      </c>
      <c r="C56" s="4" t="inlineStr">
        <is>
          <t>Não vendido</t>
        </is>
      </c>
      <c r="D56" s="4" t="inlineStr">
        <is>
          <t>90</t>
        </is>
      </c>
      <c r="E56" s="5" t="inlineStr">
        <is>
          <t>65.000,00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=HYPERLINK("https://leilaoonline.com.br/lote/detalhe/58109", "111")</f>
      </c>
      <c r="B57" s="4" t="s">
        <f>=HYPERLINK("https://leilaoonline.com.br/lote/detalhe/58109", "SLB-021-2020 - MOTONIVELADORA KOMATSU GD825A, ANO 2010, SÉRIE 12655")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75.000,00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=HYPERLINK("https://leilaoonline.com.br/lote/detalhe/58110", "112")</f>
      </c>
      <c r="B58" s="4" t="s">
        <f>=HYPERLINK("https://leilaoonline.com.br/lote/detalhe/58110", "SLB-022-2020 - TRATOR DE PNEUS KOMATSU W600, ANO 2009, SÉRIE 50184")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=HYPERLINK("https://leilaoonline.com.br/lote/detalhe/58115", "113")</f>
      </c>
      <c r="B59" s="4" t="s">
        <f>=HYPERLINK("https://leilaoonline.com.br/lote/detalhe/58115", "SLB-026-2020 - TRATOR DE PNEUS KOMATSU WD900, ANO 2012, SÉRIE KMTWD005L29050072")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43.000,00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=HYPERLINK("https://leilaoonline.com.br/lote/detalhe/58113", "114")</f>
      </c>
      <c r="B60" s="4" t="s">
        <f>=HYPERLINK("https://leilaoonline.com.br/lote/detalhe/58113", "SLB-025-2020 - TRATOR DE PNEUS KOMATSU W600, ANO 2011, SÉRIE 50301")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=HYPERLINK("https://leilaoonline.com.br/lote/detalhe/56897", "115")</f>
      </c>
      <c r="B61" s="4" t="s">
        <f>=HYPERLINK("https://leilaoonline.com.br/lote/detalhe/56897", "CKS-020-2019 - Trator de Esteira - KOMATSU - D47A5 - Ano: 2005 - loc: Parauapebas - PA")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=HYPERLINK("https://leilaoonline.com.br/lote/detalhe/56898", "116")</f>
      </c>
      <c r="B62" s="4" t="s">
        <f>=HYPERLINK("https://leilaoonline.com.br/lote/detalhe/56898", "CKS-021-2019 - Trator de Esteira - KOMATSU - D47A5 - Ano: 2005 - loc: Parauapebas - PA")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=HYPERLINK("https://leilaoonline.com.br/lote/detalhe/56814", "117")</f>
      </c>
      <c r="B63" s="4" t="s">
        <f>=HYPERLINK("https://leilaoonline.com.br/lote/detalhe/56814", "PIC-163-2020 - ESCAVADEIRA LIEBHERR 964C ANO: 2012")</f>
      </c>
      <c r="C63" s="4" t="inlineStr">
        <is>
          <t>Vendido</t>
        </is>
      </c>
      <c r="D63" s="4" t="inlineStr">
        <is>
          <t>22</t>
        </is>
      </c>
      <c r="E63" s="5" t="inlineStr">
        <is>
          <t>56.700,00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=HYPERLINK("https://leilaoonline.com.br/lote/detalhe/56815", "118")</f>
      </c>
      <c r="B64" s="4" t="s">
        <f>=HYPERLINK("https://leilaoonline.com.br/lote/detalhe/56815", "SLB-012-2020 - ESCAVADEIRA KOMATSU PC450 ANO: 2009")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51.000,00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=HYPERLINK("https://leilaoonline.com.br/lote/detalhe/57636", "119")</f>
      </c>
      <c r="B65" s="4" t="s">
        <f>=HYPERLINK("https://leilaoonline.com.br/lote/detalhe/57636", "082-032-2020 - Carregadeira CATERPILLAR MODELO: 980H 318HP ANO: 2007")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148.000,00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=HYPERLINK("https://leilaoonline.com.br/lote/detalhe/56896", "120")</f>
      </c>
      <c r="B66" s="4" t="s">
        <f>=HYPERLINK("https://leilaoonline.com.br/lote/detalhe/56896", "CKS-019-2019 - Trator de Esteira - KOMATSU - D47A5 - Ano: 2003 - loc Parauapebas - PA")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23.000,00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=HYPERLINK("https://leilaoonline.com.br/lote/detalhe/58186", "125")</f>
      </c>
      <c r="B67" s="4" t="s">
        <f>=HYPERLINK("https://leilaoonline.com.br/lote/detalhe/58186", "ITA-123-2019 - PERFURATRIZ TEREX REEDRILL, ANO 2007, SÉRIE 1S66A41")</f>
      </c>
      <c r="C67" s="4" t="inlineStr">
        <is>
          <t>Vendido</t>
        </is>
      </c>
      <c r="D67" s="4" t="inlineStr">
        <is>
          <t>83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=HYPERLINK("https://leilaoonline.com.br/lote/detalhe/58187", "126")</f>
      </c>
      <c r="B68" s="4" t="s">
        <f>=HYPERLINK("https://leilaoonline.com.br/lote/detalhe/58187", "ITA-001-2020 - PERFURATRIZ TEREX REEDRILL, ANO 2009, SÉRIE 1A66K26")</f>
      </c>
      <c r="C68" s="4" t="inlineStr">
        <is>
          <t>Vendido</t>
        </is>
      </c>
      <c r="D68" s="4" t="inlineStr">
        <is>
          <t>83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=HYPERLINK("https://leilaoonline.com.br/lote/detalhe/56893", "127")</f>
      </c>
      <c r="B69" s="4" t="s">
        <f>=HYPERLINK("https://leilaoonline.com.br/lote/detalhe/56893", "ITA-027-2020 - PERFURATRIZ SANDVIK, MOD. 1190E, ANO 2009, SERIE 733169- LOC. ITABIRA/MG")</f>
      </c>
      <c r="C69" s="4" t="inlineStr">
        <is>
          <t>Vendido</t>
        </is>
      </c>
      <c r="D69" s="4" t="inlineStr">
        <is>
          <t>39</t>
        </is>
      </c>
      <c r="E69" s="5" t="inlineStr">
        <is>
          <t>81.000,00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=HYPERLINK("https://leilaoonline.com.br/lote/detalhe/56816", "128")</f>
      </c>
      <c r="B70" s="4" t="s">
        <f>=HYPERLINK("https://leilaoonline.com.br/lote/detalhe/56816", "SLB-013-2020 - PERFURATRIZ ATLAS COPCO PV235 ANO: 2015")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51.000,00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=HYPERLINK("https://leilaoonline.com.br/lote/detalhe/57643", "131")</f>
      </c>
      <c r="B71" s="4" t="s">
        <f>=HYPERLINK("https://leilaoonline.com.br/lote/detalhe/57643", "082-088-2020 - Empilhadeira LINDE climatruck H40D-04 - ANO: 2010")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=HYPERLINK("https://leilaoonline.com.br/lote/detalhe/56759", "132")</f>
      </c>
      <c r="B72" s="4" t="s">
        <f>=HYPERLINK("https://leilaoonline.com.br/lote/detalhe/56759", "SSG-006-2020-EP7001- EMPILHADEIRA CLARK, EMGEX25, ANO 2009, IMB.1000424516- LOC.Canaa dos Carajás/PA ")</f>
      </c>
      <c r="C72" s="4" t="inlineStr">
        <is>
          <t>Vendido</t>
        </is>
      </c>
      <c r="D72" s="4" t="inlineStr">
        <is>
          <t>51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=HYPERLINK("https://leilaoonline.com.br/lote/detalhe/56762", "133")</f>
      </c>
      <c r="B73" s="4" t="s">
        <f>=HYPERLINK("https://leilaoonline.com.br/lote/detalhe/56762", "SLS-EQ-005-2020- 01 Paleteira elétrica Yale, MOD.MP22 AC, ANO 2011- LOC. São Luis / 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=HYPERLINK("https://leilaoonline.com.br/lote/detalhe/56777", "157")</f>
      </c>
      <c r="B74" s="4" t="s">
        <f>=HYPERLINK("https://leilaoonline.com.br/lote/detalhe/56777", "MARAB-03-2020 - PLATAFORMA PARA TRABALHO EM ALTURA GENIE AWP-30S- LOC. MARABA/PA")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9.750,00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=HYPERLINK("https://leilaoonline.com.br/lote/detalhe/56775", "158")</f>
      </c>
      <c r="B75" s="4" t="s">
        <f>=HYPERLINK("https://leilaoonline.com.br/lote/detalhe/56775", "MARAB-02-2020 - PLATAFORMA ELEVATORIA ARTICULAVEL GENIE, ANO 2011, IMOB.1000584162-MARABA/PA")</f>
      </c>
      <c r="C75" s="4" t="inlineStr">
        <is>
          <t>Não vendido</t>
        </is>
      </c>
      <c r="D75" s="4" t="inlineStr">
        <is>
          <t>37</t>
        </is>
      </c>
      <c r="E75" s="5" t="inlineStr">
        <is>
          <t>36.500,00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=HYPERLINK("https://leilaoonline.com.br/lote/detalhe/56774", "159")</f>
      </c>
      <c r="B76" s="4" t="s">
        <f>=HYPERLINK("https://leilaoonline.com.br/lote/detalhe/56774", "MARAB-01-2020 - PLATAFORMA ELEVATORIA MOTORIZADA GENIE TZ50 , ANO 2010, IMOB.1000584159-LOC. MARABÁ - PA ")</f>
      </c>
      <c r="C76" s="4" t="inlineStr">
        <is>
          <t>Não vendido</t>
        </is>
      </c>
      <c r="D76" s="4" t="inlineStr">
        <is>
          <t>50</t>
        </is>
      </c>
      <c r="E76" s="5" t="inlineStr">
        <is>
          <t>46.000,00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=HYPERLINK("https://leilaoonline.com.br/lote/detalhe/56884", "172")</f>
      </c>
      <c r="B77" s="4" t="s">
        <f>=HYPERLINK("https://leilaoonline.com.br/lote/detalhe/56884", "SLS-EQ-001-2020- 01 LAVADORA KARCHER, MOD. B 150R, ANO 2017, LOC.São Luis / MA")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=HYPERLINK("https://leilaoonline.com.br/lote/detalhe/56765", "178")</f>
      </c>
      <c r="B78" s="4" t="s">
        <f>=HYPERLINK("https://leilaoonline.com.br/lote/detalhe/56765", "AGLP-007-2020-BASCULA CAMINHAO FORA DE ESTRADA 777 CA5608, LOC. Rio Piracicaba / MG")</f>
      </c>
      <c r="C78" s="4" t="inlineStr">
        <is>
          <t>Vendido</t>
        </is>
      </c>
      <c r="D78" s="4" t="inlineStr">
        <is>
          <t>2</t>
        </is>
      </c>
      <c r="E78" s="5" t="inlineStr">
        <is>
          <t>7.500,00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=HYPERLINK("https://leilaoonline.com.br/lote/detalhe/56753", "179")</f>
      </c>
      <c r="B79" s="4" t="s">
        <f>=HYPERLINK("https://leilaoonline.com.br/lote/detalhe/56753", "ACD-0016-2019 - CARRETA COM FUEIROS GRUA FLORESTAL SR/NOMA SR3E27 RT CG, ANO 2000, LOC. Açailândia-MA")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=HYPERLINK("https://leilaoonline.com.br/lote/detalhe/56772", "180")</f>
      </c>
      <c r="B80" s="4" t="s">
        <f>=HYPERLINK("https://leilaoonline.com.br/lote/detalhe/56772", "BRU-107-2020 - BAÚ SERVIÇO DE EMERGÊNCIA - LOC. São Gonçalo do Rio Abaixo/ MG")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2.850,00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=HYPERLINK("https://leilaoonline.com.br/lote/detalhe/56769", "181")</f>
      </c>
      <c r="B81" s="4" t="s">
        <f>=HYPERLINK("https://leilaoonline.com.br/lote/detalhe/56769", "BRU-106-2020 - BAÚ SERVIÇO DE EMERGÊNCIA - LOC. São Gonçalo do Rio Abaixo / MG")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=HYPERLINK("https://leilaoonline.com.br/lote/detalhe/56773", "182")</f>
      </c>
      <c r="B82" s="4" t="s">
        <f>=HYPERLINK("https://leilaoonline.com.br/lote/detalhe/56773", "BRU-108-2020 -  BAÚ SERVIÇO DE EMERGÊNCIA  - LOC. São Gonçalo do Rio Abaixo / MG")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4.600,00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=HYPERLINK("https://leilaoonline.com.br/lote/detalhe/56766", "183")</f>
      </c>
      <c r="B83" s="4" t="s">
        <f>=HYPERLINK("https://leilaoonline.com.br/lote/detalhe/56766", "AGLP-010-2020 - TANQUE DE METAL PARA ÁGUA , LOC. RIO PIRACICABA / MG")</f>
      </c>
      <c r="C83" s="4" t="inlineStr">
        <is>
          <t>Vendido</t>
        </is>
      </c>
      <c r="D83" s="4" t="inlineStr">
        <is>
          <t>29</t>
        </is>
      </c>
      <c r="E83" s="5" t="inlineStr">
        <is>
          <t>8.050,00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=HYPERLINK("https://leilaoonline.com.br/lote/detalhe/56754", "184")</f>
      </c>
      <c r="B84" s="4" t="s">
        <f>=HYPERLINK("https://leilaoonline.com.br/lote/detalhe/56754", "AGLP-009-2020 - TANQUE METÁLICO DE ÁGUA , LOC. RIO PIRACICABA / MG ")</f>
      </c>
      <c r="C84" s="4" t="inlineStr">
        <is>
          <t>Vendido</t>
        </is>
      </c>
      <c r="D84" s="4" t="inlineStr">
        <is>
          <t>33</t>
        </is>
      </c>
      <c r="E84" s="5" t="inlineStr">
        <is>
          <t>10.150,00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=HYPERLINK("https://leilaoonline.com.br/lote/detalhe/56856", "229")</f>
      </c>
      <c r="B85" s="4" t="s">
        <f>=HYPERLINK("https://leilaoonline.com.br/lote/detalhe/56856", "MARAB-030-2020 -CONTAINER METALICO, APRESENTA AVARIAS- LOC. MARABA/PA")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=HYPERLINK("https://leilaoonline.com.br/lote/detalhe/56857", "230")</f>
      </c>
      <c r="B86" s="4" t="s">
        <f>=HYPERLINK("https://leilaoonline.com.br/lote/detalhe/56857", "MARAB-031-2020-CONTAINER METALICO, APRESENTA AVARIAS- LOC. MARABA/PA")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=HYPERLINK("https://leilaoonline.com.br/lote/detalhe/56858", "231")</f>
      </c>
      <c r="B87" s="4" t="s">
        <f>=HYPERLINK("https://leilaoonline.com.br/lote/detalhe/56858", "MARAB-032-2020-CONTAINER METALICO, APRESENTA AVARIAS- LOC. MARABA/PA")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=HYPERLINK("https://leilaoonline.com.br/lote/detalhe/56868", "232")</f>
      </c>
      <c r="B88" s="4" t="s">
        <f>=HYPERLINK("https://leilaoonline.com.br/lote/detalhe/56868", "SLS-EQ-004-2020- Container Cougnaud, MOD. 2300, ANO 2001, IMB. 1000528619-LOC. São Luis / MA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=HYPERLINK("https://leilaoonline.com.br/lote/detalhe/56838", "233")</f>
      </c>
      <c r="B89" s="4" t="s">
        <f>=HYPERLINK("https://leilaoonline.com.br/lote/detalhe/56838", "MARAB-013-2020- CONTAINER METALICO, APRESENTA AVARIAS. , LOC. MARABÁ - PA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=HYPERLINK("https://leilaoonline.com.br/lote/detalhe/56839", "234")</f>
      </c>
      <c r="B90" s="4" t="s">
        <f>=HYPERLINK("https://leilaoonline.com.br/lote/detalhe/56839", "MARAB-014-2020 - CONTAINER METALICO, APRESENTA AVARIAS., LOC. MARABÁ - PA")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=HYPERLINK("https://leilaoonline.com.br/lote/detalhe/56840", "235")</f>
      </c>
      <c r="B91" s="4" t="s">
        <f>=HYPERLINK("https://leilaoonline.com.br/lote/detalhe/56840", "MARAB-015-2020- CONTAINER METALICO, APRESENTA AVARIAS.- LOC.MARABÁ - PA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=HYPERLINK("https://leilaoonline.com.br/lote/detalhe/56843", "236")</f>
      </c>
      <c r="B92" s="4" t="s">
        <f>=HYPERLINK("https://leilaoonline.com.br/lote/detalhe/56843", "MARAB-018-2020 -CONTAINER METALICO, APRESENTA AVARIAS- LOC. MARABÁ - PA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=HYPERLINK("https://leilaoonline.com.br/lote/detalhe/56842", "237")</f>
      </c>
      <c r="B93" s="4" t="s">
        <f>=HYPERLINK("https://leilaoonline.com.br/lote/detalhe/56842", "MARAB-017-2020- CONTAINER METALICO, APRESENTA AVARIAS-LOC. MARABÁ - PA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=HYPERLINK("https://leilaoonline.com.br/lote/detalhe/56841", "238")</f>
      </c>
      <c r="B94" s="4" t="s">
        <f>=HYPERLINK("https://leilaoonline.com.br/lote/detalhe/56841", "MARAB-016-2020 - CONTAINER METALICO, APRESENTA AVARIAS- LOC. MARABÁ - PA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=HYPERLINK("https://leilaoonline.com.br/lote/detalhe/56844", "239")</f>
      </c>
      <c r="B95" s="4" t="s">
        <f>=HYPERLINK("https://leilaoonline.com.br/lote/detalhe/56844", "MARAB-019-2020- CONTAINER METALICO, APRESENTA AVARIAS.- LOC. MARABA/PA")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=HYPERLINK("https://leilaoonline.com.br/lote/detalhe/56846", "240")</f>
      </c>
      <c r="B96" s="4" t="s">
        <f>=HYPERLINK("https://leilaoonline.com.br/lote/detalhe/56846", "MARAB-020-2020 - CONTAINER METALICO, APRESENTA AVARIAS.-  LOC. MARABA/PA")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=HYPERLINK("https://leilaoonline.com.br/lote/detalhe/56847", "245")</f>
      </c>
      <c r="B97" s="4" t="s">
        <f>=HYPERLINK("https://leilaoonline.com.br/lote/detalhe/56847", "MARAB-021-2020 - CONTAINER METALICO, APRESENTA AVARIAS.- LOC. MARABA/PA")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=HYPERLINK("https://leilaoonline.com.br/lote/detalhe/56848", "246")</f>
      </c>
      <c r="B98" s="4" t="s">
        <f>=HYPERLINK("https://leilaoonline.com.br/lote/detalhe/56848", "MARAB-022-2020 - CONTAINER METALICO, APRESENTA AVARIAS.- LOC. MARABA/PA")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=HYPERLINK("https://leilaoonline.com.br/lote/detalhe/56849", "247")</f>
      </c>
      <c r="B99" s="4" t="s">
        <f>=HYPERLINK("https://leilaoonline.com.br/lote/detalhe/56849", "MARAB-023-2020- CONTAINER METALICO, APRESENTA AVARIAS- LOC. MARABA/PA")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=HYPERLINK("https://leilaoonline.com.br/lote/detalhe/56850", "248")</f>
      </c>
      <c r="B100" s="4" t="s">
        <f>=HYPERLINK("https://leilaoonline.com.br/lote/detalhe/56850", "MARAB-024-2020-CONTAINER METALICO, APRESENTA AVARIAS- LOC. MARABA/PA")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=HYPERLINK("https://leilaoonline.com.br/lote/detalhe/56851", "249")</f>
      </c>
      <c r="B101" s="4" t="s">
        <f>=HYPERLINK("https://leilaoonline.com.br/lote/detalhe/56851", "MARAB-025-2020- CONTAINER METALICO, APRESENTA AVARIAS- LOC. MARABA/PA")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=HYPERLINK("https://leilaoonline.com.br/lote/detalhe/56767", "250")</f>
      </c>
      <c r="B102" s="4" t="s">
        <f>=HYPERLINK("https://leilaoonline.com.br/lote/detalhe/56767", "CKS-003-2020 - ANALISADOR GRANULOMETRICO DE PRECISAO POR IMAGEM SP-CPIT-02 L.CARAJÁS")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24.250,00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=HYPERLINK("https://leilaoonline.com.br/lote/detalhe/56853", "251")</f>
      </c>
      <c r="B103" s="4" t="s">
        <f>=HYPERLINK("https://leilaoonline.com.br/lote/detalhe/56853", "MARAB-027-2020-CONTAINER METALICO, APRESENTA AVARIAS- LOC. MARABA/PA")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=HYPERLINK("https://leilaoonline.com.br/lote/detalhe/56852", "252")</f>
      </c>
      <c r="B104" s="4" t="s">
        <f>=HYPERLINK("https://leilaoonline.com.br/lote/detalhe/56852", "MARAB-026-2020-CONTAINER METALICO, APRESENTA AVARIAS- LOC. MARABA/PA")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=HYPERLINK("https://leilaoonline.com.br/lote/detalhe/56854", "253")</f>
      </c>
      <c r="B105" s="4" t="s">
        <f>=HYPERLINK("https://leilaoonline.com.br/lote/detalhe/56854", "MARAB-028-2020- CONTAINER METALICO, APRESENTA AVARIAS- LOC. MARABA/PA")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=HYPERLINK("https://leilaoonline.com.br/lote/detalhe/56855", "254")</f>
      </c>
      <c r="B106" s="4" t="s">
        <f>=HYPERLINK("https://leilaoonline.com.br/lote/detalhe/56855", "MARAB-029-2020-CONTAINER METALICO, APRESENTA AVARIAS- LOC. MARABA/PA")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=HYPERLINK("https://leilaoonline.com.br/lote/detalhe/58546", "255")</f>
      </c>
      <c r="B107" s="4" t="s">
        <f>=HYPERLINK("https://leilaoonline.com.br/lote/detalhe/58546", "BRU-111-2020- 01 PÇ, Conteiner em aço tipo habitacional Escritorio, LOC. São Gonçalo do Rio Abaixo")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=HYPERLINK("https://leilaoonline.com.br/lote/detalhe/58545", "257")</f>
      </c>
      <c r="B108" s="4" t="s">
        <f>=HYPERLINK("https://leilaoonline.com.br/lote/detalhe/58545", "AGLP-011-2020- 01 TORRE DE ILUMINAÇÃO GENIÊ 4000 N- LOC. Rio Piracicaba - MG")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=HYPERLINK("https://leilaoonline.com.br/lote/detalhe/56757", "258")</f>
      </c>
      <c r="B109" s="4" t="s">
        <f>=HYPERLINK("https://leilaoonline.com.br/lote/detalhe/56757", "MARAB-05-2020 - 1 MOTOR 4 CILINDROS; D229.4; 67 CV; MWM - LOC. MARABÁ - PA")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15.050,00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=HYPERLINK("https://leilaoonline.com.br/lote/detalhe/56770", "259")</f>
      </c>
      <c r="B110" s="4" t="s">
        <f>=HYPERLINK("https://leilaoonline.com.br/lote/detalhe/56770", "CKS-005-2020 - 2 MOTOR DIESES  LIEBHERR veja descritivo de itens -  LOC.CARAJAS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10.500,00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=HYPERLINK("https://leilaoonline.com.br/lote/detalhe/56755", "260")</f>
      </c>
      <c r="B111" s="4" t="s">
        <f>=HYPERLINK("https://leilaoonline.com.br/lote/detalhe/56755", "CKS-004-2020 - 02 TRANSFORMADORES FORCA SIEMENS 15000KVA SE 1370- LOC. CARAJAS ")</f>
      </c>
      <c r="C111" s="4" t="inlineStr">
        <is>
          <t>Não vendido</t>
        </is>
      </c>
      <c r="D111" s="4" t="inlineStr">
        <is>
          <t>289</t>
        </is>
      </c>
      <c r="E111" s="5" t="inlineStr">
        <is>
          <t>378.000,00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=HYPERLINK("https://leilaoonline.com.br/lote/detalhe/56881", "261")</f>
      </c>
      <c r="B112" s="4" t="s">
        <f>=HYPERLINK("https://leilaoonline.com.br/lote/detalhe/56881", "082-067-2020 - TORNO NARDINI UNIVERSAL DE BARRAMENTO HORIZONTAL, MODELO ND325 ANO: 2010")</f>
      </c>
      <c r="C112" s="4" t="inlineStr">
        <is>
          <t>Vendido</t>
        </is>
      </c>
      <c r="D112" s="4" t="inlineStr">
        <is>
          <t>47</t>
        </is>
      </c>
      <c r="E112" s="5" t="inlineStr">
        <is>
          <t>33.000,00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=HYPERLINK("https://leilaoonline.com.br/lote/detalhe/57639", "262")</f>
      </c>
      <c r="B113" s="4" t="s">
        <f>=HYPERLINK("https://leilaoonline.com.br/lote/detalhe/57639", "082-068-2020 - plaina fresadora CLEVER UNIVERSAL ANO: 2011")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14.000,00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=HYPERLINK("https://leilaoonline.com.br/lote/detalhe/56882", "263")</f>
      </c>
      <c r="B114" s="4" t="s">
        <f>=HYPERLINK("https://leilaoonline.com.br/lote/detalhe/56882", "082-074-2020 - Esmerilhadeira Esmeril coluna 1HP JAWO M.E.B - ANO: 1978")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1.400,00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=HYPERLINK("https://leilaoonline.com.br/lote/detalhe/58425", "264")</f>
      </c>
      <c r="B115" s="4" t="s">
        <f>=HYPERLINK("https://leilaoonline.com.br/lote/detalhe/58425", "GOV-084-2020 -1 Esmerilhadeira METALTEX TFS 303 380V LE 5A")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=HYPERLINK("https://leilaoonline.com.br/lote/detalhe/56870", "265")</f>
      </c>
      <c r="B116" s="4" t="s">
        <f>=HYPERLINK("https://leilaoonline.com.br/lote/detalhe/56870", "082-013-2020 - Fresadora Gorton Machine Corporation ANO: 1976")</f>
      </c>
      <c r="C116" s="4" t="inlineStr">
        <is>
          <t>Não vendido</t>
        </is>
      </c>
      <c r="D116" s="4" t="inlineStr">
        <is>
          <t>14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=HYPERLINK("https://leilaoonline.com.br/lote/detalhe/56871", "266")</f>
      </c>
      <c r="B117" s="4" t="s">
        <f>=HYPERLINK("https://leilaoonline.com.br/lote/detalhe/56871", "082-014-2020 - Esmerilhadeira JAWO Moto Esmeril Coluna 7,5CV ANO: 2009 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=HYPERLINK("https://leilaoonline.com.br/lote/detalhe/57638", "267")</f>
      </c>
      <c r="B118" s="4" t="s">
        <f>=HYPERLINK("https://leilaoonline.com.br/lote/detalhe/57638", "082-015-2020 - Serra Franho S/500 ANO: 1976")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=HYPERLINK("https://leilaoonline.com.br/lote/detalhe/56872", "268")</f>
      </c>
      <c r="B119" s="4" t="s">
        <f>=HYPERLINK("https://leilaoonline.com.br/lote/detalhe/56872", "082-038-2020 - furadeira de bancada SCHUTZ FBS 16P ANO 2016")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=HYPERLINK("https://leilaoonline.com.br/lote/detalhe/58184", "269")</f>
      </c>
      <c r="B120" s="4" t="s">
        <f>=HYPERLINK("https://leilaoonline.com.br/lote/detalhe/58184", "MUT-064-2020 - MAQUINA HIDRAULICA MONT/DESM. PNEUS MODH1007, FABMA")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=HYPERLINK("https://leilaoonline.com.br/lote/detalhe/56873", "270")</f>
      </c>
      <c r="B121" s="4" t="s">
        <f>=HYPERLINK("https://leilaoonline.com.br/lote/detalhe/56873", "082-041-2020 - máquina afiadora de brocas UNIVERSAL DRILL GRINDER 80N ANO: 2011")</f>
      </c>
      <c r="C121" s="4" t="inlineStr">
        <is>
          <t>Não vendido</t>
        </is>
      </c>
      <c r="D121" s="4" t="inlineStr">
        <is>
          <t>23</t>
        </is>
      </c>
      <c r="E121" s="5" t="inlineStr">
        <is>
          <t>4.550,00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=HYPERLINK("https://leilaoonline.com.br/lote/detalhe/56883", "271")</f>
      </c>
      <c r="B122" s="4" t="s">
        <f>=HYPERLINK("https://leilaoonline.com.br/lote/detalhe/56883", "SLS-EQ-002-2020 - 01 SERRA FITA STARRETT, MOD. ST-3720, ANO 2005, LOC. São Luis / MA")</f>
      </c>
      <c r="C122" s="4" t="inlineStr">
        <is>
          <t>Não vendido</t>
        </is>
      </c>
      <c r="D122" s="4" t="inlineStr">
        <is>
          <t>17</t>
        </is>
      </c>
      <c r="E122" s="5" t="inlineStr">
        <is>
          <t>4.400,00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=HYPERLINK("https://leilaoonline.com.br/lote/detalhe/56874", "272")</f>
      </c>
      <c r="B123" s="4" t="s">
        <f>=HYPERLINK("https://leilaoonline.com.br/lote/detalhe/56874", "082-042-2020 - furadeira radial ROCCO R-70H/2000 ANO: 1978")</f>
      </c>
      <c r="C123" s="4" t="inlineStr">
        <is>
          <t>Não vendido</t>
        </is>
      </c>
      <c r="D123" s="4" t="inlineStr">
        <is>
          <t>64</t>
        </is>
      </c>
      <c r="E123" s="5" t="inlineStr">
        <is>
          <t>17.750,00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=HYPERLINK("https://leilaoonline.com.br/lote/detalhe/58426", "273")</f>
      </c>
      <c r="B124" s="4" t="s">
        <f>=HYPERLINK("https://leilaoonline.com.br/lote/detalhe/58426", "GOV-083-2020 - 1 MAQUINA DE SOLDA MARCA LINCOL MODELO AP 50 ANO 2004 220 VOLTS.")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=HYPERLINK("https://leilaoonline.com.br/lote/detalhe/56875", "274")</f>
      </c>
      <c r="B125" s="4" t="s">
        <f>=HYPERLINK("https://leilaoonline.com.br/lote/detalhe/56875", "082-044-2020 - COMPRESSOR INDUSTRIAL DE AR M/SHULZ MOD.SRP 1050 ANO: 1998")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=HYPERLINK("https://leilaoonline.com.br/lote/detalhe/56878", "275")</f>
      </c>
      <c r="B126" s="4" t="s">
        <f>=HYPERLINK("https://leilaoonline.com.br/lote/detalhe/56878", "082-045-2020 - COMPRESSOR INDUSTRIAL DE AR M/SHULZ MOD.SRP 1050 ANO: 1998")</f>
      </c>
      <c r="C126" s="4" t="inlineStr">
        <is>
          <t>Não vendido</t>
        </is>
      </c>
      <c r="D126" s="4" t="inlineStr">
        <is>
          <t>20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=HYPERLINK("https://leilaoonline.com.br/lote/detalhe/56833", "276")</f>
      </c>
      <c r="B127" s="4" t="s">
        <f>=HYPERLINK("https://leilaoonline.com.br/lote/detalhe/56833", "SLS-MRO-022-2020- 01 BRACO DF3110440501/5401 SVEDALA")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=HYPERLINK("https://leilaoonline.com.br/lote/detalhe/56879", "277")</f>
      </c>
      <c r="B128" s="4" t="s">
        <f>=HYPERLINK("https://leilaoonline.com.br/lote/detalhe/56879", "082-065-2020 - Esmerilhadeira JAWO Moto esmeril coluna 7,5CV ANO: 2009")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=HYPERLINK("https://leilaoonline.com.br/lote/detalhe/56880", "278")</f>
      </c>
      <c r="B129" s="4" t="s">
        <f>=HYPERLINK("https://leilaoonline.com.br/lote/detalhe/56880", "082-066-2020 - plaina limadora ROCCO 900/II")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=HYPERLINK("https://leilaoonline.com.br/lote/detalhe/58427", "279")</f>
      </c>
      <c r="B130" s="4" t="s">
        <f>=HYPERLINK("https://leilaoonline.com.br/lote/detalhe/58427", "GOV-080-2020 - 5 ITENS EIXO MOTR 037.021.001.016 01-01 REV. 01")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=HYPERLINK("https://leilaoonline.com.br/lote/detalhe/56771", "280")</f>
      </c>
      <c r="B131" s="4" t="s">
        <f>=HYPERLINK("https://leilaoonline.com.br/lote/detalhe/56771", "CKS-008-2020 - 1 RADIADOR 785D, 1 MOTOR DE TRACAO T282.- LOC. CARAJAS ")</f>
      </c>
      <c r="C131" s="4" t="inlineStr">
        <is>
          <t>Não vendido</t>
        </is>
      </c>
      <c r="D131" s="4" t="inlineStr">
        <is>
          <t>45</t>
        </is>
      </c>
      <c r="E131" s="5" t="inlineStr">
        <is>
          <t>15.000,00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=HYPERLINK("https://leilaoonline.com.br/lote/detalhe/58185", "281")</f>
      </c>
      <c r="B132" s="4" t="s">
        <f>=HYPERLINK("https://leilaoonline.com.br/lote/detalhe/58185", "082-101-2020 -  POSICIONADOR DE VAGÕES NETSU MPFE 8 T, ANO 2013,")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=HYPERLINK("https://leilaoonline.com.br/lote/detalhe/58183", "282")</f>
      </c>
      <c r="B133" s="4" t="s">
        <f>=HYPERLINK("https://leilaoonline.com.br/lote/detalhe/58183", "SLS-RET-042-2020 - VAGÃO DE PASSAGEIRO")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=HYPERLINK("https://leilaoonline.com.br/lote/detalhe/56756", "283")</f>
      </c>
      <c r="B134" s="4" t="s">
        <f>=HYPERLINK("https://leilaoonline.com.br/lote/detalhe/56756", "SLS-EQ-013-2018 - H-VAGAO PASSAGEIRO SMR - 104358-7, IMB.1000606054, LOC.SÃO LUÍS / MA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=HYPERLINK("https://leilaoonline.com.br/lote/detalhe/56845", "284")</f>
      </c>
      <c r="B135" s="4" t="s">
        <f>=HYPERLINK("https://leilaoonline.com.br/lote/detalhe/56845", "082-033-2020 - GRADE ARADORA CIVEMASA MODELO: SGAC S-1297 ANO: 2017 (NOVA - SEM USO)")</f>
      </c>
      <c r="C135" s="4" t="inlineStr">
        <is>
          <t>Não vendido</t>
        </is>
      </c>
      <c r="D135" s="4" t="inlineStr">
        <is>
          <t>19</t>
        </is>
      </c>
      <c r="E135" s="5" t="inlineStr">
        <is>
          <t>19.500,00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=HYPERLINK("https://leilaoonline.com.br/lote/detalhe/58548", "285")</f>
      </c>
      <c r="B136" s="4" t="s">
        <f>=HYPERLINK("https://leilaoonline.com.br/lote/detalhe/58548", "BRU-112-2020- 30 PCAS, Esmerilhadeira Bosch e Makita, ( As esmerilhadeiras estão desgastadas necessitam de reparos e trocas de peças)-LOC.São Gonçalo do Rio Abaixo")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=HYPERLINK("https://leilaoonline.com.br/lote/detalhe/56792", "286")</f>
      </c>
      <c r="B137" s="4" t="s">
        <f>=HYPERLINK("https://leilaoonline.com.br/lote/detalhe/56792", "CDM-001-2020 - ESTUFA DE LABORATORIO ENVIRONMENTAL  - LOC. SANTA LUZIA - MG")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=HYPERLINK("https://leilaoonline.com.br/lote/detalhe/56837", "287")</f>
      </c>
      <c r="B138" s="4" t="s">
        <f>=HYPERLINK("https://leilaoonline.com.br/lote/detalhe/56837", "082-027-2020 - JATEADOR DE GELO SECO - COLD JET AERO 80 HP ANO: 2011")</f>
      </c>
      <c r="C138" s="4" t="inlineStr">
        <is>
          <t>Não vendido</t>
        </is>
      </c>
      <c r="D138" s="4" t="inlineStr">
        <is>
          <t>29</t>
        </is>
      </c>
      <c r="E138" s="5" t="inlineStr">
        <is>
          <t>12.250,00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=HYPERLINK("https://leilaoonline.com.br/lote/detalhe/56836", "288")</f>
      </c>
      <c r="B139" s="4" t="s">
        <f>=HYPERLINK("https://leilaoonline.com.br/lote/detalhe/56836", "082-026-2020 - JATEADOR DE GELO SECO - COLD JET AERO C 100 ANO: 2011")</f>
      </c>
      <c r="C139" s="4" t="inlineStr">
        <is>
          <t>Não vendido</t>
        </is>
      </c>
      <c r="D139" s="4" t="inlineStr">
        <is>
          <t>37</t>
        </is>
      </c>
      <c r="E139" s="5" t="inlineStr">
        <is>
          <t>14.250,00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=HYPERLINK("https://leilaoonline.com.br/lote/detalhe/56768", "289")</f>
      </c>
      <c r="B140" s="4" t="s">
        <f>=HYPERLINK("https://leilaoonline.com.br/lote/detalhe/56768", "BRU-101-2020 - Maquina de Ar Condicionado - modelo - Clima Tech Top.  LOC. São Gonçalo do Rio Abaixo/ MG    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=HYPERLINK("https://leilaoonline.com.br/lote/detalhe/56793", "292")</f>
      </c>
      <c r="B141" s="4" t="s">
        <f>=HYPERLINK("https://leilaoonline.com.br/lote/detalhe/56793", "082-001-2020- 40 ITENS , MOTORES, JUNTAS E VALVULAS, veja descritivo de itens - LOC. VITORIA/ES ")</f>
      </c>
      <c r="C141" s="4" t="inlineStr">
        <is>
          <t>Não vendido</t>
        </is>
      </c>
      <c r="D141" s="4" t="inlineStr">
        <is>
          <t>11</t>
        </is>
      </c>
      <c r="E141" s="5" t="inlineStr">
        <is>
          <t>2.800,00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=HYPERLINK("https://leilaoonline.com.br/lote/detalhe/57630", "293")</f>
      </c>
      <c r="B142" s="4" t="s">
        <f>=HYPERLINK("https://leilaoonline.com.br/lote/detalhe/57630", "'TIG-001-2020-51 ITENS DIVERSOS, GEARED P/DISJUNTOR, MOTOR CORRENTE ALTERNADA E OUTROS - VEJA DESCRITIVO DE ITENS 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6.800,00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=HYPERLINK("https://leilaoonline.com.br/lote/detalhe/56835", "294")</f>
      </c>
      <c r="B143" s="4" t="s">
        <f>=HYPERLINK("https://leilaoonline.com.br/lote/detalhe/56835", "SLS-MRO-016-2020-67 ITENS DIVERSOS, CORREIAS, CAIXA ROLAMENTOS E OUTROS - VEJA DESCRITIVO DE ITENS ")</f>
      </c>
      <c r="C143" s="4" t="inlineStr">
        <is>
          <t>Vendido</t>
        </is>
      </c>
      <c r="D143" s="4" t="inlineStr">
        <is>
          <t>64</t>
        </is>
      </c>
      <c r="E143" s="5" t="inlineStr">
        <is>
          <t>35.500,00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=HYPERLINK("https://leilaoonline.com.br/lote/detalhe/56901", "298")</f>
      </c>
      <c r="B144" s="4" t="s">
        <f>=HYPERLINK("https://leilaoonline.com.br/lote/detalhe/56901", "TIG-005-2020 - APROX. 130 MTS CABO DE AÇO, VEJA DESCRITIVO DE ITENS 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600,00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=HYPERLINK("https://leilaoonline.com.br/lote/detalhe/56829", "299")</f>
      </c>
      <c r="B145" s="4" t="s">
        <f>=HYPERLINK("https://leilaoonline.com.br/lote/detalhe/56829", "TIG-009-2020- APROX. 1.134 MTS DE CABO DE COBRE FLEXIVEL, CONFIGURACAO: 3X95M ")</f>
      </c>
      <c r="C145" s="4" t="inlineStr">
        <is>
          <t>Não vendido</t>
        </is>
      </c>
      <c r="D145" s="4" t="inlineStr">
        <is>
          <t>88</t>
        </is>
      </c>
      <c r="E145" s="5" t="inlineStr">
        <is>
          <t>82.500,00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=HYPERLINK("https://leilaoonline.com.br/lote/detalhe/56804", "300")</f>
      </c>
      <c r="B146" s="4" t="s">
        <f>=HYPERLINK("https://leilaoonline.com.br/lote/detalhe/56804", "S11D-008-2020-MRO - 270 ITENS - CABO DE AÇO, ROLAMENTO, EIXO, CHAPA - veja descritivo de itens  LOC: CANAA DOS CARAJAS")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13.500,00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=HYPERLINK("https://leilaoonline.com.br/lote/detalhe/56794", "301")</f>
      </c>
      <c r="B147" s="4" t="s">
        <f>=HYPERLINK("https://leilaoonline.com.br/lote/detalhe/56794", "082-003-2020 - 246 ITENS, ROLAMENTOS, PLACAS E OUTROS - veja descritivo de itens  - LOC. VITORIA/ES ")</f>
      </c>
      <c r="C147" s="4" t="inlineStr">
        <is>
          <t>Vendido</t>
        </is>
      </c>
      <c r="D147" s="4" t="inlineStr">
        <is>
          <t>14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=HYPERLINK("https://leilaoonline.com.br/lote/detalhe/56877", "302")</f>
      </c>
      <c r="B148" s="4" t="s">
        <f>=HYPERLINK("https://leilaoonline.com.br/lote/detalhe/56877", "SLS-MRO-032-2020- 01 ROLAMENTO RD, ROTHE ERDE- LOC. São Luis - MA")</f>
      </c>
      <c r="C148" s="4" t="inlineStr">
        <is>
          <t>Não vendido</t>
        </is>
      </c>
      <c r="D148" s="4" t="inlineStr">
        <is>
          <t>17</t>
        </is>
      </c>
      <c r="E148" s="5" t="inlineStr">
        <is>
          <t>4.500,00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=HYPERLINK("https://leilaoonline.com.br/lote/detalhe/56828", "305")</f>
      </c>
      <c r="B149" s="4" t="s">
        <f>=HYPERLINK("https://leilaoonline.com.br/lote/detalhe/56828", "TIG-011-2020- 62 ITENS DIVERSOS - ROLAMENTO, EQUIPAMENTOS E PEÇAS-VEJA DESCRITIVO DE ITENS 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=HYPERLINK("https://leilaoonline.com.br/lote/detalhe/56831", "308")</f>
      </c>
      <c r="B150" s="4" t="s">
        <f>=HYPERLINK("https://leilaoonline.com.br/lote/detalhe/56831", "SSG-003-2020-275 ITENS DIVERSOS, ROLAMENTOS, MODULO, VEDAÇÃO E OUTROS- VEJA DESCRITIVO DE ITENS 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1.350,00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=HYPERLINK("https://leilaoonline.com.br/lote/detalhe/56832", "309")</f>
      </c>
      <c r="B151" s="4" t="s">
        <f>=HYPERLINK("https://leilaoonline.com.br/lote/detalhe/56832", "SSG-002-2020-47 ITENS DIVERSOS, KIT COMPONENTE, GUIA COMPONENTES E OUTROS - VEJA DESCRITIVO DE ITENS ")</f>
      </c>
      <c r="C151" s="4" t="inlineStr">
        <is>
          <t>Não vendido</t>
        </is>
      </c>
      <c r="D151" s="4" t="inlineStr">
        <is>
          <t>8</t>
        </is>
      </c>
      <c r="E151" s="5" t="inlineStr">
        <is>
          <t>1.400,00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=HYPERLINK("https://leilaoonline.com.br/lote/detalhe/56830", "311")</f>
      </c>
      <c r="B152" s="4" t="s">
        <f>=HYPERLINK("https://leilaoonline.com.br/lote/detalhe/56830", "SSG-004-2020-166 ITENS DIVERSOS,ROLAMENTOS, FONTE COMPONENTE, SENSOR E OUTROS- VEJA DESCRITIVO DE ITENS ")</f>
      </c>
      <c r="C152" s="4" t="inlineStr">
        <is>
          <t>Vendido</t>
        </is>
      </c>
      <c r="D152" s="4" t="inlineStr">
        <is>
          <t>25</t>
        </is>
      </c>
      <c r="E152" s="5" t="inlineStr">
        <is>
          <t>5.150,00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=HYPERLINK("https://leilaoonline.com.br/lote/detalhe/56789", "313")</f>
      </c>
      <c r="B153" s="4" t="s">
        <f>=HYPERLINK("https://leilaoonline.com.br/lote/detalhe/56789", "CD-134-2020 - 1 ITEM ROLAMENTO ROLO AUTOCOMPENSADOR - LOC. Barão de Cocais/Minas Gerais")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1.350,00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=HYPERLINK("https://leilaoonline.com.br/lote/detalhe/56834", "315")</f>
      </c>
      <c r="B154" s="4" t="s">
        <f>=HYPERLINK("https://leilaoonline.com.br/lote/detalhe/56834", "SLB-009-2020 - APROX. 144 ITENS - Rolamentos, Peças de britador, Filtros E OUTROS - VEJA DESCRITIVO DE ITENS")</f>
      </c>
      <c r="C154" s="4" t="inlineStr">
        <is>
          <t>Não vendido</t>
        </is>
      </c>
      <c r="D154" s="4" t="inlineStr">
        <is>
          <t>13</t>
        </is>
      </c>
      <c r="E154" s="5" t="inlineStr">
        <is>
          <t>2.300,00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=HYPERLINK("https://leilaoonline.com.br/lote/detalhe/56806", "317")</f>
      </c>
      <c r="B155" s="4" t="s">
        <f>=HYPERLINK("https://leilaoonline.com.br/lote/detalhe/56806", "S11D-005-2020-MRO - 1500 ITENS EIXO, ROLAMENTO, ARRUELAS veja descritivo de itens - lOC: CANAA DOS CARAJAS")</f>
      </c>
      <c r="C155" s="4" t="inlineStr">
        <is>
          <t>Vendido</t>
        </is>
      </c>
      <c r="D155" s="4" t="inlineStr">
        <is>
          <t>78</t>
        </is>
      </c>
      <c r="E155" s="5" t="inlineStr">
        <is>
          <t>25.200,00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=HYPERLINK("https://leilaoonline.com.br/lote/detalhe/56807", "318")</f>
      </c>
      <c r="B156" s="4" t="s">
        <f>=HYPERLINK("https://leilaoonline.com.br/lote/detalhe/56807", "S11D-004-2020-MRO - 4500 ITENS ROLAMENTO, CHAPA veja descritivo de itens -  LOC: CANAA DOS CARAJAS")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9.000,00</t>
        </is>
      </c>
      <c r="F156" s="4" t="inlineStr">
        <is>
          <t>300.00</t>
        </is>
      </c>
    </row>
    <row collapsed="false" customFormat="false" customHeight="false" hidden="false" ht="12.1" outlineLevel="0" r="157">
      <c r="A157" s="5" t="s">
        <f>=HYPERLINK("https://leilaoonline.com.br/lote/detalhe/56904", "320")</f>
      </c>
      <c r="B157" s="4" t="s">
        <f>=HYPERLINK("https://leilaoonline.com.br/lote/detalhe/56904", "082-049-2020 - APROX. 3 550 ITENS Fios e cabos e conexões elétricas, Rolamentos E OUTROS - VEJA DESCRITIVO DE ITENS")</f>
      </c>
      <c r="C157" s="4" t="inlineStr">
        <is>
          <t>Vendido</t>
        </is>
      </c>
      <c r="D157" s="4" t="inlineStr">
        <is>
          <t>38</t>
        </is>
      </c>
      <c r="E157" s="5" t="inlineStr">
        <is>
          <t>38.300,00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=HYPERLINK("https://leilaoonline.com.br/lote/detalhe/56758", "326")</f>
      </c>
      <c r="B158" s="4" t="s">
        <f>=HYPERLINK("https://leilaoonline.com.br/lote/detalhe/56758", "MUT-027-2020 - APROX. 20 ITENS - Fixadores diversos, Peças e acessórios de peneiras E OUTROS - VEJA DESCRITIVO DE ITENS")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950,00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=HYPERLINK("https://leilaoonline.com.br/lote/detalhe/56764", "327")</f>
      </c>
      <c r="B159" s="4" t="s">
        <f>=HYPERLINK("https://leilaoonline.com.br/lote/detalhe/56764", "OIA-026-2020- 29 ITENS, ROLAMENTOS DIVERSOS - VEJA DESCRITIVO DE ITENS ")</f>
      </c>
      <c r="C159" s="4" t="inlineStr">
        <is>
          <t>Vendido</t>
        </is>
      </c>
      <c r="D159" s="4" t="inlineStr">
        <is>
          <t>20</t>
        </is>
      </c>
      <c r="E159" s="5" t="inlineStr">
        <is>
          <t>12.800,00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=HYPERLINK("https://leilaoonline.com.br/lote/detalhe/56888", "335")</f>
      </c>
      <c r="B160" s="4" t="s">
        <f>=HYPERLINK("https://leilaoonline.com.br/lote/detalhe/56888", "CPBS-009-2020 - 27 ITENS Rolamentos E OUTROS - VEJA DESCRITIVO DE ITENS")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2.300,00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=HYPERLINK("https://leilaoonline.com.br/lote/detalhe/56763", "336")</f>
      </c>
      <c r="B161" s="4" t="s">
        <f>=HYPERLINK("https://leilaoonline.com.br/lote/detalhe/56763", "CKS-MRO-014-2020 - 23 PEÇAS - ROLAMENTO COMPONENTE;4079484 LE TOURNEAU")</f>
      </c>
      <c r="C161" s="4" t="inlineStr">
        <is>
          <t>Não vendido</t>
        </is>
      </c>
      <c r="D161" s="4" t="inlineStr">
        <is>
          <t>90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=HYPERLINK("https://leilaoonline.com.br/lote/detalhe/56886", "337")</f>
      </c>
      <c r="B162" s="4" t="s">
        <f>=HYPERLINK("https://leilaoonline.com.br/lote/detalhe/56886", "CD-141-2020 - 1 PEÇA ROLAMENTO COMPONENTE; TIPO: GIRO; MATERIAL: ACO CARBONO; SUBAPLICACAO: ACIONADOR; APLICACAO: ESPESSADOR")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=HYPERLINK("https://leilaoonline.com.br/lote/detalhe/56885", "338")</f>
      </c>
      <c r="B163" s="4" t="s">
        <f>=HYPERLINK("https://leilaoonline.com.br/lote/detalhe/56885", "ACA-008-2020 - APROX. 196 ITENS - Fixadores diversos, Rolamentos E OUTROS - VEJA DESCRITIVO DE ITENS")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1.850,00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=HYPERLINK("https://leilaoonline.com.br/lote/detalhe/57645", "339")</f>
      </c>
      <c r="B164" s="4" t="s">
        <f>=HYPERLINK("https://leilaoonline.com.br/lote/detalhe/57645", "TIG-022-2020-15 ITENS, ROLAMENTO ESFERAS, RODA COMPONENTE E OUTROS- VEJA DESCRITIVO DE ITENS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=HYPERLINK("https://leilaoonline.com.br/lote/detalhe/56890", "340")</f>
      </c>
      <c r="B165" s="4" t="s">
        <f>=HYPERLINK("https://leilaoonline.com.br/lote/detalhe/56890", "MCR-043-2020-168 ITENS, JOGO DE FREIO, ARRUELA , ROLAMENTOS E OUTROS- VEJA DESCRITIVO DE ITENS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3.294,98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=HYPERLINK("https://leilaoonline.com.br/lote/detalhe/56889", "341")</f>
      </c>
      <c r="B166" s="4" t="s">
        <f>=HYPERLINK("https://leilaoonline.com.br/lote/detalhe/56889", "MUT-008-2020, 973 ITENS, VEDACAO PLANA, CAIXA ROLAMENTO E OUTROS- VEJA DESCRITIVO ")</f>
      </c>
      <c r="C166" s="4" t="inlineStr">
        <is>
          <t>Não vendido</t>
        </is>
      </c>
      <c r="D166" s="4" t="inlineStr">
        <is>
          <t>6</t>
        </is>
      </c>
      <c r="E166" s="5" t="inlineStr">
        <is>
          <t>1.750,00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=HYPERLINK("https://leilaoonline.com.br/lote/detalhe/56887", "342")</f>
      </c>
      <c r="B167" s="4" t="s">
        <f>=HYPERLINK("https://leilaoonline.com.br/lote/detalhe/56887", "PIC-223-2020- 16 ITENS, FERRAGENS ROLAMENTOS, TUBOS - VEJA DESCRITIVO DE ITENS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=HYPERLINK("https://leilaoonline.com.br/lote/detalhe/56876", "345")</f>
      </c>
      <c r="B168" s="4" t="s">
        <f>=HYPERLINK("https://leilaoonline.com.br/lote/detalhe/56876", "SLS-MRO-038-2020 - 802 ITENS, DISJUNTOR 6A, ROLAMENTO ROLO CILINDRICO E OUTROS - VEJA DESCRITIVO DE ITENS ")</f>
      </c>
      <c r="C168" s="4" t="inlineStr">
        <is>
          <t>Não vendido</t>
        </is>
      </c>
      <c r="D168" s="4" t="inlineStr">
        <is>
          <t>14</t>
        </is>
      </c>
      <c r="E168" s="5" t="inlineStr">
        <is>
          <t>3.750,00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=HYPERLINK("https://leilaoonline.com.br/lote/detalhe/56827", "347")</f>
      </c>
      <c r="B169" s="4" t="s">
        <f>=HYPERLINK("https://leilaoonline.com.br/lote/detalhe/56827", "TIG-014-2020 - 853 ITENS DIVERSOS, ARRUELA, ROLAMENTOS, MOLAS E OUTROS - VEJA DESCRITIVO DE ITENS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3.050,00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=HYPERLINK("https://leilaoonline.com.br/lote/detalhe/56808", "366")</f>
      </c>
      <c r="B170" s="4" t="s">
        <f>=HYPERLINK("https://leilaoonline.com.br/lote/detalhe/56808", "OIA-003-2020- 33 ITENS DIVERSOS, SENSOR PROXIMIDADE, SENSOR COMPONENTE E OUTROS - VEJA DESCRITIVO DE ITENS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=HYPERLINK("https://leilaoonline.com.br/lote/detalhe/56809", "367")</f>
      </c>
      <c r="B171" s="4" t="s">
        <f>=HYPERLINK("https://leilaoonline.com.br/lote/detalhe/56809", "OIA-004-2020 - 31 ITENS DIVERSOS, OMPRESSOR AR ATLAS COPCO, ESTICADOR COMPONENTE E OUTROS - VEJA DESCRITIVO DE ITENS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=HYPERLINK("https://leilaoonline.com.br/lote/detalhe/57631", "369")</f>
      </c>
      <c r="B172" s="4" t="s">
        <f>=HYPERLINK("https://leilaoonline.com.br/lote/detalhe/57631", "OIA-006-2020 - 85 ITENS DIVERSOS, CONTATOR ELETRICO,CHAVE IGNICAO; E OUTROS - VEJA DESCRITIVO DE ITENS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=HYPERLINK("https://leilaoonline.com.br/lote/detalhe/56795", "370")</f>
      </c>
      <c r="B173" s="4" t="s">
        <f>=HYPERLINK("https://leilaoonline.com.br/lote/detalhe/56795", "TIG-007-2020- 122 ITENS DIVERSOS , MOTOR DISPOSITIVO REBOCADOR,  ANEL ESPACADOR SEPARADOR E OUTROA - VEJA DESCRITIVO DE ITENS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=HYPERLINK("https://leilaoonline.com.br/lote/detalhe/56796", "371")</f>
      </c>
      <c r="B174" s="4" t="s">
        <f>=HYPERLINK("https://leilaoonline.com.br/lote/detalhe/56796", "TIG-006-2020 - 56 ITENS DIVERSOS, VALVULA FREIO CONTROLE DIREC, MOTOR HIDRAULICO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=HYPERLINK("https://leilaoonline.com.br/lote/detalhe/56797", "374")</f>
      </c>
      <c r="B175" s="4" t="s">
        <f>=HYPERLINK("https://leilaoonline.com.br/lote/detalhe/56797", "SSG-001-2020- 144 ITENS DIVERSOS, COLAR COMPONENTE, GAXETA, FILTRO E OUTROS- VEJA DESCRITIVO DE ITENS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=HYPERLINK("https://leilaoonline.com.br/lote/detalhe/56798", "375")</f>
      </c>
      <c r="B176" s="4" t="s">
        <f>=HYPERLINK("https://leilaoonline.com.br/lote/detalhe/56798", "SLS-MRO-014-2020- 1.529 ITENS, MANGUEIRAS, DISCOS, SUPORTES FERROVIARIO E OUTROS - VEJA DESCRITIVO DE ITENS 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=HYPERLINK("https://leilaoonline.com.br/lote/detalhe/56799", "376")</f>
      </c>
      <c r="B177" s="4" t="s">
        <f>=HYPERLINK("https://leilaoonline.com.br/lote/detalhe/56799", "SLS-MRO-012-2020 - 82 ITENS DIVERSOS, MANCAL DESLIZANTE, MANILHA RETA, E OUTROS - VEJA DESCRITIVO DE ITENS ")</f>
      </c>
      <c r="C177" s="4" t="inlineStr">
        <is>
          <t>Vendido</t>
        </is>
      </c>
      <c r="D177" s="4" t="inlineStr">
        <is>
          <t>20</t>
        </is>
      </c>
      <c r="E177" s="5" t="inlineStr">
        <is>
          <t>4.100,00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=HYPERLINK("https://leilaoonline.com.br/lote/detalhe/56800", "377")</f>
      </c>
      <c r="B178" s="4" t="s">
        <f>=HYPERLINK("https://leilaoonline.com.br/lote/detalhe/56800", "SLS-MRO-009-2020, 785 ITENS DIVERSOS, ROLOS, PINOS, BUCHAS E OUTROS - VEJA DESCRITIVO DE ITENS ")</f>
      </c>
      <c r="C178" s="4" t="inlineStr">
        <is>
          <t>Não vendido</t>
        </is>
      </c>
      <c r="D178" s="4" t="inlineStr">
        <is>
          <t>13</t>
        </is>
      </c>
      <c r="E178" s="5" t="inlineStr">
        <is>
          <t>1.500,00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=HYPERLINK("https://leilaoonline.com.br/lote/detalhe/56801", "379")</f>
      </c>
      <c r="B179" s="4" t="s">
        <f>=HYPERLINK("https://leilaoonline.com.br/lote/detalhe/56801", "SLS-MRO-007-2020, 749 ITENS DIVERSOS, DISJUNTOR GM-EMD, ENGRENAGEM, E OUTROS- VEJA DESCRITIVO DE ITENS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=HYPERLINK("https://leilaoonline.com.br/lote/detalhe/56802", "380")</f>
      </c>
      <c r="B180" s="4" t="s">
        <f>=HYPERLINK("https://leilaoonline.com.br/lote/detalhe/56802", "SLS-MRO-006-2020, 2.583 ITENS DIVERSOS, PINHÃO, PARAFUSOS, MANTA E OUTROS - VEJA DESCRITIVO DE ITENS ")</f>
      </c>
      <c r="C180" s="4" t="inlineStr">
        <is>
          <t>Não vendido</t>
        </is>
      </c>
      <c r="D180" s="4" t="inlineStr">
        <is>
          <t>5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=HYPERLINK("https://leilaoonline.com.br/lote/detalhe/56803", "381")</f>
      </c>
      <c r="B181" s="4" t="s">
        <f>=HYPERLINK("https://leilaoonline.com.br/lote/detalhe/56803", "SLS-MRO-004-2020 - 105 ITENS DIVERSOS, ROLETE C/ BUCHA, TAMPAS, PARAFUSOS - VEJA DESCRITIVO DE ITENS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2.395,00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=HYPERLINK("https://leilaoonline.com.br/lote/detalhe/56811", "395")</f>
      </c>
      <c r="B182" s="4" t="s">
        <f>=HYPERLINK("https://leilaoonline.com.br/lote/detalhe/56811", "PIC-208-2020- 21 ITENS DIVERSOS, BUCHAS MDM, VALVULAS, JUNTAS E OUTROS - VEJA DESCRITIVO DE ITENS 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1.100,00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=HYPERLINK("https://leilaoonline.com.br/lote/detalhe/56812", "398")</f>
      </c>
      <c r="B183" s="4" t="s">
        <f>=HYPERLINK("https://leilaoonline.com.br/lote/detalhe/56812", "PIC-211-2020- 76 ITENS DIVERSOS, VALVULAS REDUTORAS, REVESTIMENTOS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=HYPERLINK("https://leilaoonline.com.br/lote/detalhe/56813", "399")</f>
      </c>
      <c r="B184" s="4" t="s">
        <f>=HYPERLINK("https://leilaoonline.com.br/lote/detalhe/56813", "PIC-212-2020 - 29 ITENS DIVERSOS, FILTRO FLUIDO, JUNTA EXPANSÃO, ANEL GUIA E OUTROS - VEJA DESCRITIVO DE ITENS 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=HYPERLINK("https://leilaoonline.com.br/lote/detalhe/56790", "400")</f>
      </c>
      <c r="B185" s="4" t="s">
        <f>=HYPERLINK("https://leilaoonline.com.br/lote/detalhe/56790", "CPBS -002-2020 - 191 PEÇAS DIVERSAS -  Peças de britador, Fixadores diversos - LOC: ITAGUAI - PORTO DE SEPETIBA - veja descritivo de itens")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=HYPERLINK("https://leilaoonline.com.br/lote/detalhe/56902", "407")</f>
      </c>
      <c r="B186" s="4" t="s">
        <f>=HYPERLINK("https://leilaoonline.com.br/lote/detalhe/56902", "FAB-021-2020  - 500 PÇS E 80 JGS CORREIAS GATES, DAICO..veja descritivo de itens loc: Ouro Preto / Minas Gerais")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=HYPERLINK("https://leilaoonline.com.br/lote/detalhe/56805", "415")</f>
      </c>
      <c r="B187" s="4" t="s">
        <f>=HYPERLINK("https://leilaoonline.com.br/lote/detalhe/56805", "S11D-006-2020-MRO -1000 ITENS ANEL, PARAFUSO veja descritivo de itens - LOC: CANAA DOS CARAJAS")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4.650,00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=HYPERLINK("https://leilaoonline.com.br/lote/detalhe/56903", "420")</f>
      </c>
      <c r="B188" s="4" t="s">
        <f>=HYPERLINK("https://leilaoonline.com.br/lote/detalhe/56903", "OIA-008-2020 - 10 ITENS, RELE, ACOPLAMENTO... - veja descritivo de itens - LOC. Ourilândia do Norte - PA")</f>
      </c>
      <c r="C188" s="4" t="inlineStr">
        <is>
          <t>Vendido</t>
        </is>
      </c>
      <c r="D188" s="4" t="inlineStr">
        <is>
          <t>20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=HYPERLINK("https://leilaoonline.com.br/lote/detalhe/56810", "424")</f>
      </c>
      <c r="B189" s="4" t="s">
        <f>=HYPERLINK("https://leilaoonline.com.br/lote/detalhe/56810", "S11D-001-2020 - 70 itens PARTES E PEÇAS P/ PONTE ROLANTE E TRANSPORTADOR veja descritivo de itens -  LOC: CANAA DOS CARAJAS")</f>
      </c>
      <c r="C189" s="4" t="inlineStr">
        <is>
          <t>Não vendido</t>
        </is>
      </c>
      <c r="D189" s="4" t="inlineStr">
        <is>
          <t>7</t>
        </is>
      </c>
      <c r="E189" s="5" t="inlineStr">
        <is>
          <t>5.700,00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=HYPERLINK("https://leilaoonline.com.br/lote/detalhe/56817", "426")</f>
      </c>
      <c r="B190" s="4" t="s">
        <f>=HYPERLINK("https://leilaoonline.com.br/lote/detalhe/56817", "082-010-2020 - 74 ITENS Equipamento de lubrificação e suas peças e acessórios, Fixadores diversos E OUTROS - VEJA DESCRITIVO DE ITENS")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=HYPERLINK("https://leilaoonline.com.br/lote/detalhe/56818", "428")</f>
      </c>
      <c r="B191" s="4" t="s">
        <f>=HYPERLINK("https://leilaoonline.com.br/lote/detalhe/56818", "082-012-2020 - 16 ITENS Peças de moinho E Peças e acessórios de locomotiva - VEJA DESCRITIVO DE ITENS")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=HYPERLINK("https://leilaoonline.com.br/lote/detalhe/56819", "429")</f>
      </c>
      <c r="B192" s="4" t="s">
        <f>=HYPERLINK("https://leilaoonline.com.br/lote/detalhe/56819", "082-046-2020 - APROX. 352 ITENS Fixadores diversos, Peças e acessórios de locomotiva E Outros - VEJA DESCRITIVO DE ITENS")</f>
      </c>
      <c r="C192" s="4" t="inlineStr">
        <is>
          <t>Vendido</t>
        </is>
      </c>
      <c r="D192" s="4" t="inlineStr">
        <is>
          <t>3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=HYPERLINK("https://leilaoonline.com.br/lote/detalhe/56820", "431")</f>
      </c>
      <c r="B193" s="4" t="s">
        <f>=HYPERLINK("https://leilaoonline.com.br/lote/detalhe/56820", "082-063-2020 - APROX. 1.503 ITENS Conjunto de parafusos, Fixadores diversos, Juntas e vedações E OUTROS - VEJA DESCRITIVO DE ITENS")</f>
      </c>
      <c r="C193" s="4" t="inlineStr">
        <is>
          <t>Não vendido</t>
        </is>
      </c>
      <c r="D193" s="4" t="inlineStr">
        <is>
          <t>7</t>
        </is>
      </c>
      <c r="E193" s="5" t="inlineStr">
        <is>
          <t>3.000,00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=HYPERLINK("https://leilaoonline.com.br/lote/detalhe/56821", "432")</f>
      </c>
      <c r="B194" s="4" t="s">
        <f>=HYPERLINK("https://leilaoonline.com.br/lote/detalhe/56821", "082-064-2020 - APROX. 2.828 ITENS Conjunto de parafusos, Fios e cabos e conexões elétricas E OUTROS - VEJA DESCRITIVO DE ITENS")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1.380,00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=HYPERLINK("https://leilaoonline.com.br/lote/detalhe/56822", "434")</f>
      </c>
      <c r="B195" s="4" t="s">
        <f>=HYPERLINK("https://leilaoonline.com.br/lote/detalhe/56822", "082-071-2020 - APROX. 152 ITENS Peças e acessórios de bombas, Equipamento e peças e acessórios de resfriamento E OUTROS - VEJA DESCRITIVO DE ITENS")</f>
      </c>
      <c r="C195" s="4" t="inlineStr">
        <is>
          <t>Não vendido</t>
        </is>
      </c>
      <c r="D195" s="4" t="inlineStr">
        <is>
          <t>2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=HYPERLINK("https://leilaoonline.com.br/lote/detalhe/56823", "437")</f>
      </c>
      <c r="B196" s="4" t="s">
        <f>=HYPERLINK("https://leilaoonline.com.br/lote/detalhe/56823", "MUT-016-2020 - APROX. 473 ITENS Conexões de tubos, Material elétrico E OUTROS - VEJA DESCRITIVO DE ITENS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=HYPERLINK("https://leilaoonline.com.br/lote/detalhe/56824", "438")</f>
      </c>
      <c r="B197" s="4" t="s">
        <f>=HYPERLINK("https://leilaoonline.com.br/lote/detalhe/56824", "MUT-018-2020 - APROX. 3.725 Componentes e acessórios de motores, Peças e insumos e acessórios de componentes eletrônicos E OUTROS - VEJA DESCRITIVO DE ITENS")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=HYPERLINK("https://leilaoonline.com.br/lote/detalhe/56825", "439")</f>
      </c>
      <c r="B198" s="4" t="s">
        <f>=HYPERLINK("https://leilaoonline.com.br/lote/detalhe/56825", "MUT-019-2020 - APROX. 226 ITENS - Peças e acessórios de compressores, Fixadores diversos E OUTROS - VEJA DESCRITIVO DE ITENS")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=HYPERLINK("https://leilaoonline.com.br/lote/detalhe/56892", "443")</f>
      </c>
      <c r="B199" s="4" t="s">
        <f>=HYPERLINK("https://leilaoonline.com.br/lote/detalhe/56892", "CD-103-2020 - APROX. 163 ITENS - Peças P/ peneiras, veículo pesado e Outros - veja descritivo de itens - LOC. Barão de Cocais/Minas Gerais")</f>
      </c>
      <c r="C199" s="4" t="inlineStr">
        <is>
          <t>Vendido</t>
        </is>
      </c>
      <c r="D199" s="4" t="inlineStr">
        <is>
          <t>4</t>
        </is>
      </c>
      <c r="E199" s="5" t="inlineStr">
        <is>
          <t>600,00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=HYPERLINK("https://leilaoonline.com.br/lote/detalhe/56826", "444")</f>
      </c>
      <c r="B200" s="4" t="s">
        <f>=HYPERLINK("https://leilaoonline.com.br/lote/detalhe/56826", "MUT-021-2020 - APROX. 218 ITENS - Componentes e acessórios de motores, Fios e cabos e conexões elétricas E OUTROS - VEJA DESCRITIVO DE ITENS 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=HYPERLINK("https://leilaoonline.com.br/lote/detalhe/56894", "445")</f>
      </c>
      <c r="B201" s="4" t="s">
        <f>=HYPERLINK("https://leilaoonline.com.br/lote/detalhe/56894", "CD-113-2020 - APROX. 3800 ITENS  Cjt, de parafusos, Peças P/ bombas - veja descritivo de itens - LOC. Barão de Cocais/Minas Gerais")</f>
      </c>
      <c r="C201" s="4" t="inlineStr">
        <is>
          <t>Vendido</t>
        </is>
      </c>
      <c r="D201" s="4" t="inlineStr">
        <is>
          <t>5</t>
        </is>
      </c>
      <c r="E201" s="5" t="inlineStr">
        <is>
          <t>950,00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=HYPERLINK("https://leilaoonline.com.br/lote/detalhe/56776", "450")</f>
      </c>
      <c r="B202" s="4" t="s">
        <f>=HYPERLINK("https://leilaoonline.com.br/lote/detalhe/56776", "CD-118-2020 - 39 ITENS - Peças e acessórios de veículo pesado e Outros - veja descritivo de itens - LOC. Barão de Cocais/Minas Gerais")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=HYPERLINK("https://leilaoonline.com.br/lote/detalhe/56778", "451")</f>
      </c>
      <c r="B203" s="4" t="s">
        <f>=HYPERLINK("https://leilaoonline.com.br/lote/detalhe/56778", "CD-119-2020 - 14 ITENS PARTES E PECAS; CONJUNTO EIXO; PENEIRA VIBRATORIA - LOC. Barão de Cocais/Minas Gerais")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1.260,00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=HYPERLINK("https://leilaoonline.com.br/lote/detalhe/56895", "453")</f>
      </c>
      <c r="B204" s="4" t="s">
        <f>=HYPERLINK("https://leilaoonline.com.br/lote/detalhe/56895", "CD-121-2020 - 1 TAMBOR CALDA EMPILHADEIRA MINEIRO - 2350-2695  - LOC. Barão de Cocais/Minas Gerais")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=HYPERLINK("https://leilaoonline.com.br/lote/detalhe/56780", "454")</f>
      </c>
      <c r="B205" s="4" t="s">
        <f>=HYPERLINK("https://leilaoonline.com.br/lote/detalhe/56780", "CD-122-2020 - 10 ITENS PARTES E PECAS: VEDACAO LATERAL  - LOC. Barão de Cocais/Minas Gerais")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=HYPERLINK("https://leilaoonline.com.br/lote/detalhe/56781", "455")</f>
      </c>
      <c r="B206" s="4" t="s">
        <f>=HYPERLINK("https://leilaoonline.com.br/lote/detalhe/56781", "CD-124-2020 - APROX. 312 ITENS - Junta e vedações e outros - veja descritivo de itens  - LOC. Barão de Cocais/Minas Gerais")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=HYPERLINK("https://leilaoonline.com.br/lote/detalhe/57629", "456")</f>
      </c>
      <c r="B207" s="4" t="s">
        <f>=HYPERLINK("https://leilaoonline.com.br/lote/detalhe/57629", "CD-125-2020 - 3 ITENS PARTES E PECAS: BIELA  - LOC. Barão de Cocais/Minas Gerais")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=HYPERLINK("https://leilaoonline.com.br/lote/detalhe/56782", "458")</f>
      </c>
      <c r="B208" s="4" t="s">
        <f>=HYPERLINK("https://leilaoonline.com.br/lote/detalhe/56782", "CD-127-2020 - 28 ELEMENTOS FILTRO  - LOC. Barão de Cocais/Minas Gerais")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450,00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=HYPERLINK("https://leilaoonline.com.br/lote/detalhe/56784", "459")</f>
      </c>
      <c r="B209" s="4" t="s">
        <f>=HYPERLINK("https://leilaoonline.com.br/lote/detalhe/56784", "CD-128-2020 - APROX. 168 ITENS Peças e acessorio de peneiras -veja descritivo de itens - LOC. Barão de Cocais/Minas Gerais")</f>
      </c>
      <c r="C209" s="4" t="inlineStr">
        <is>
          <t>Não vendido</t>
        </is>
      </c>
      <c r="D209" s="4" t="inlineStr">
        <is>
          <t>5</t>
        </is>
      </c>
      <c r="E209" s="5" t="inlineStr">
        <is>
          <t>550,00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=HYPERLINK("https://leilaoonline.com.br/lote/detalhe/56952", "461")</f>
      </c>
      <c r="B210" s="4" t="s">
        <f>=HYPERLINK("https://leilaoonline.com.br/lote/detalhe/56952", "SLS-MRO-031-2020- 1.072 ITENS DIVERSOS, ENGATE, CANTONEIRA E OUTROS- VEJA DESCRITIVO DE ITENS ")</f>
      </c>
      <c r="C210" s="4" t="inlineStr">
        <is>
          <t>Não vendido</t>
        </is>
      </c>
      <c r="D210" s="4" t="inlineStr">
        <is>
          <t>12</t>
        </is>
      </c>
      <c r="E210" s="5" t="inlineStr">
        <is>
          <t>2.500,00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=HYPERLINK("https://leilaoonline.com.br/lote/detalhe/56958", "462")</f>
      </c>
      <c r="B211" s="4" t="s">
        <f>=HYPERLINK("https://leilaoonline.com.br/lote/detalhe/56958", "SLS-MRO-023-2020- 62 ITENS, PLACAS DESGASTE DIVERSAS - VEJA DESCRITIVO DE ITENS 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2.050,00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=HYPERLINK("https://leilaoonline.com.br/lote/detalhe/56932", "463")</f>
      </c>
      <c r="B212" s="4" t="s">
        <f>=HYPERLINK("https://leilaoonline.com.br/lote/detalhe/56932", "CD-131-2020 - 36 ITENS Peças P/ bomba E Outros - veja descritivo de itens  - LOC. Barão de Cocais/Minas Gerais")</f>
      </c>
      <c r="C212" s="4" t="inlineStr">
        <is>
          <t>Vendido</t>
        </is>
      </c>
      <c r="D212" s="4" t="inlineStr">
        <is>
          <t>11</t>
        </is>
      </c>
      <c r="E212" s="5" t="inlineStr">
        <is>
          <t>1.250,00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=HYPERLINK("https://leilaoonline.com.br/lote/detalhe/56933", "464")</f>
      </c>
      <c r="B213" s="4" t="s">
        <f>=HYPERLINK("https://leilaoonline.com.br/lote/detalhe/56933", "CD-135-2020 - 1000 ITENS Materiais Eletricos, Conexões de tubos e Outros - veja descritivo de itens  - LOC. Barão de Cocais/Minas Gerais")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550,00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=HYPERLINK("https://leilaoonline.com.br/lote/detalhe/56934", "465")</f>
      </c>
      <c r="B214" s="4" t="s">
        <f>=HYPERLINK("https://leilaoonline.com.br/lote/detalhe/56934", "CD-136-2020 - 300 ITENS Juntas e vendações, Peças P/ veiculos pesados e Outros - veja descritivo de itens - LOC. Barão de Cocais/Minas Gerais")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550,00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=HYPERLINK("https://leilaoonline.com.br/lote/detalhe/56957", "466")</f>
      </c>
      <c r="B215" s="4" t="s">
        <f>=HYPERLINK("https://leilaoonline.com.br/lote/detalhe/56957", "SLS-MRO-026-2020- 6.232 ITENS DIVERSOS, CHAVETA, TRAVA COMPONENTE E OUTROS - VEJA DESCRITIVO DE ITENS")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=HYPERLINK("https://leilaoonline.com.br/lote/detalhe/56899", "467")</f>
      </c>
      <c r="B216" s="4" t="s">
        <f>=HYPERLINK("https://leilaoonline.com.br/lote/detalhe/56899", "CKS-MRO-009-2020 - 1.000 ITENS Uniformes corporativos, Segurança e proteção pessoal  - LOC. CARAJÁS/PA")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1.100,00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=HYPERLINK("https://leilaoonline.com.br/lote/detalhe/56935", "469")</f>
      </c>
      <c r="B217" s="4" t="s">
        <f>=HYPERLINK("https://leilaoonline.com.br/lote/detalhe/56935", "GOV-001-2020 - 240 ITENS REBOLO ANEL NORTON - LOC. NOVA ERA/MG")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=HYPERLINK("https://leilaoonline.com.br/lote/detalhe/56939", "470")</f>
      </c>
      <c r="B218" s="4" t="s">
        <f>=HYPERLINK("https://leilaoonline.com.br/lote/detalhe/56939", "GOV-002-2020 - 100 ITENS Material elétrico, Juntas e vedações e Outros - veja descritivo de itens  - LOC. NOVA ERA/MG")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=HYPERLINK("https://leilaoonline.com.br/lote/detalhe/56966", "472")</f>
      </c>
      <c r="B219" s="4" t="s">
        <f>=HYPERLINK("https://leilaoonline.com.br/lote/detalhe/56966", "SLS-MRO-019-2020 - 07 ITENS, TAMBORES, CABOS - VEJA DESCRITIVO DE ITENS ")</f>
      </c>
      <c r="C219" s="4" t="inlineStr">
        <is>
          <t>Não vendido</t>
        </is>
      </c>
      <c r="D219" s="4" t="inlineStr">
        <is>
          <t>9</t>
        </is>
      </c>
      <c r="E219" s="5" t="inlineStr">
        <is>
          <t>2.350,00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=HYPERLINK("https://leilaoonline.com.br/lote/detalhe/56967", "474")</f>
      </c>
      <c r="B220" s="4" t="s">
        <f>=HYPERLINK("https://leilaoonline.com.br/lote/detalhe/56967", "SLS-MRO-017-2020- 144 ITENS DIVERSOS, SUPORTE COMPONENTE, EIXOS, PINOS E OUTROS - VEJA DESCRITIVO DE ITENS ")</f>
      </c>
      <c r="C220" s="4" t="inlineStr">
        <is>
          <t>Não vendido</t>
        </is>
      </c>
      <c r="D220" s="4" t="inlineStr">
        <is>
          <t>16</t>
        </is>
      </c>
      <c r="E220" s="5" t="inlineStr">
        <is>
          <t>2.600,00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=HYPERLINK("https://leilaoonline.com.br/lote/detalhe/56969", "477")</f>
      </c>
      <c r="B221" s="4" t="s">
        <f>=HYPERLINK("https://leilaoonline.com.br/lote/detalhe/56969", "SLS-MRO-013-2020- 4.208 ITENS DIVERSOS, REGULADOR COMPONENTE, FILTRO FLUIDO , MANTA E OUTROS- VEJA DESCRITIVO DE ITENS ")</f>
      </c>
      <c r="C221" s="4" t="inlineStr">
        <is>
          <t>Não vendido</t>
        </is>
      </c>
      <c r="D221" s="4" t="inlineStr">
        <is>
          <t>24</t>
        </is>
      </c>
      <c r="E221" s="5" t="inlineStr">
        <is>
          <t>4.200,00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=HYPERLINK("https://leilaoonline.com.br/lote/detalhe/56970", "478")</f>
      </c>
      <c r="B222" s="4" t="s">
        <f>=HYPERLINK("https://leilaoonline.com.br/lote/detalhe/56970", "SLS-MRO-011-2020- 778 ITENS DIVERSOS, BOTÃO COMANDO, VALVULA REDUTORA, AMORTECEDOR E OUTROS - VEJA DESCRITIVO DE ITENS 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6.350,00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=HYPERLINK("https://leilaoonline.com.br/lote/detalhe/56948", "481")</f>
      </c>
      <c r="B223" s="4" t="s">
        <f>=HYPERLINK("https://leilaoonline.com.br/lote/detalhe/56948", "MUT-031-2020 -6 ITENS - Notebook, Impressora termica  E OUTROS - VEJA DESCRITIVO DE ITENS")</f>
      </c>
      <c r="C223" s="4" t="inlineStr">
        <is>
          <t>Não vendido</t>
        </is>
      </c>
      <c r="D223" s="4" t="inlineStr">
        <is>
          <t>14</t>
        </is>
      </c>
      <c r="E223" s="5" t="inlineStr">
        <is>
          <t>4.250,00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=HYPERLINK("https://leilaoonline.com.br/lote/detalhe/57632", "484")</f>
      </c>
      <c r="B224" s="4" t="s">
        <f>=HYPERLINK("https://leilaoonline.com.br/lote/detalhe/57632", "PIC-216-2020 - APROX. 73 ITENS - BOMBA ENGRENAGEM, DIAFRAGMA PARA ATUADOR E OUTROS - VEJA DESCRITIVO DE ITENS")</f>
      </c>
      <c r="C224" s="4" t="inlineStr">
        <is>
          <t>Vendido</t>
        </is>
      </c>
      <c r="D224" s="4" t="inlineStr">
        <is>
          <t>5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=HYPERLINK("https://leilaoonline.com.br/lote/detalhe/57633", "486")</f>
      </c>
      <c r="B225" s="4" t="s">
        <f>=HYPERLINK("https://leilaoonline.com.br/lote/detalhe/57633", "PIC-219-2020 - 32 ITENS - INDUTOR COMPONENTE, PARTES E PECAS EQUIP DIVERSOS E OUTROS - VEJA DESCRITIVO DE ITENS 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=HYPERLINK("https://leilaoonline.com.br/lote/detalhe/56949", "487")</f>
      </c>
      <c r="B226" s="4" t="s">
        <f>=HYPERLINK("https://leilaoonline.com.br/lote/detalhe/56949", "SIS-001-2020 - 1 ITEM - CILINDRO P/ MASSAS C/ PEDESTAL SAE 1020")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=HYPERLINK("https://leilaoonline.com.br/lote/detalhe/56950", "488")</f>
      </c>
      <c r="B227" s="4" t="s">
        <f>=HYPERLINK("https://leilaoonline.com.br/lote/detalhe/56950", "SIS-002-2020 - 1 SUQUEIRA INDUSTRIAL 100L - BEGEL E 1 GELADEIRA INDUSTRIAL 4 PORTAS")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=HYPERLINK("https://leilaoonline.com.br/lote/detalhe/56951", "489")</f>
      </c>
      <c r="B228" s="4" t="s">
        <f>=HYPERLINK("https://leilaoonline.com.br/lote/detalhe/56951", "SLB-001-2020 - APROX. 168 ITENS - PARTES E PECAS EQUIPAMENTOS DIVERSOS - VEJA DESCRITIVO DE ITENS")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=HYPERLINK("https://leilaoonline.com.br/lote/detalhe/56953", "490")</f>
      </c>
      <c r="B229" s="4" t="s">
        <f>=HYPERLINK("https://leilaoonline.com.br/lote/detalhe/56953", "SLB-002-2020 - APROX. 88 ITENS - PARTES E PECAS EQUIPAMENTOS DIVERSOS, SENSOR COMPONENTE E OUTROS - VEJA DESCRITIVO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=HYPERLINK("https://leilaoonline.com.br/lote/detalhe/56959", "491")</f>
      </c>
      <c r="B230" s="4" t="s">
        <f>=HYPERLINK("https://leilaoonline.com.br/lote/detalhe/56959", "SLB-003-2020 - APROX. 96 ITENS - SENSOR COMPONENTE, VALVULA COMPONENTE E OUTROS - VEJA DESCRITIVO DE ITENS")</f>
      </c>
      <c r="C230" s="4" t="inlineStr">
        <is>
          <t>Não vendido</t>
        </is>
      </c>
      <c r="D230" s="4" t="inlineStr">
        <is>
          <t>12</t>
        </is>
      </c>
      <c r="E230" s="5" t="inlineStr">
        <is>
          <t>1.700,00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=HYPERLINK("https://leilaoonline.com.br/lote/detalhe/56960", "492")</f>
      </c>
      <c r="B231" s="4" t="s">
        <f>=HYPERLINK("https://leilaoonline.com.br/lote/detalhe/56960", "SLB-004-2020 - 34 ITENS - PARTES E PECAS EQUIP DIVERSOS, SENSOR COMPONENTE E OUTROS - VEJA DESCRITIVO DE ITENS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=HYPERLINK("https://leilaoonline.com.br/lote/detalhe/56961", "493")</f>
      </c>
      <c r="B232" s="4" t="s">
        <f>=HYPERLINK("https://leilaoonline.com.br/lote/detalhe/56961", "SLB-005-2020 - APROX. 776 - PARTES E PECAS EQUIP DIVERSOS, VALVULA COMPONENTE e outros - VEJA DESCRITIVO DE ITENS")</f>
      </c>
      <c r="C232" s="4" t="inlineStr">
        <is>
          <t>Não vendido</t>
        </is>
      </c>
      <c r="D232" s="4" t="inlineStr">
        <is>
          <t>4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=HYPERLINK("https://leilaoonline.com.br/lote/detalhe/56962", "494")</f>
      </c>
      <c r="B233" s="4" t="s">
        <f>=HYPERLINK("https://leilaoonline.com.br/lote/detalhe/56962", "SLB-006-2020 - APROX. 161 ITENS - PARTES E PECAS, SENSOR COMPONENTE E OUTROS - VEJA DESCRITIVO DE ITENS")</f>
      </c>
      <c r="C233" s="4" t="inlineStr">
        <is>
          <t>Não vendido</t>
        </is>
      </c>
      <c r="D233" s="4" t="inlineStr">
        <is>
          <t>3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=HYPERLINK("https://leilaoonline.com.br/lote/detalhe/56963", "495")</f>
      </c>
      <c r="B234" s="4" t="s">
        <f>=HYPERLINK("https://leilaoonline.com.br/lote/detalhe/56963", "SLB-007-2020 - APROX. 73 ITENS - PARTES E PECAS EQUIPAMENTOS DIVERSOS, SENSOR COMPONENTE E OUTROS - VEJA DESCRITIVO DE ITENS")</f>
      </c>
      <c r="C234" s="4" t="inlineStr">
        <is>
          <t>Não vendido</t>
        </is>
      </c>
      <c r="D234" s="4" t="inlineStr">
        <is>
          <t>10</t>
        </is>
      </c>
      <c r="E234" s="5" t="inlineStr">
        <is>
          <t>1.450,00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=HYPERLINK("https://leilaoonline.com.br/lote/detalhe/56964", "496")</f>
      </c>
      <c r="B235" s="4" t="s">
        <f>=HYPERLINK("https://leilaoonline.com.br/lote/detalhe/56964", "SLB-008-2020 - APROX. 128 ITENS - PARTES E PECAS EQUIPAMENTOS DIVERSOS, Peças e acessórios de sonda e perfuratriz E OUTROS - VEJA DESCRITIVO DE ITENS")</f>
      </c>
      <c r="C235" s="4" t="inlineStr">
        <is>
          <t>Não vendido</t>
        </is>
      </c>
      <c r="D235" s="4" t="inlineStr">
        <is>
          <t>3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=HYPERLINK("https://leilaoonline.com.br/lote/detalhe/56965", "499")</f>
      </c>
      <c r="B236" s="4" t="s">
        <f>=HYPERLINK("https://leilaoonline.com.br/lote/detalhe/56965", "SLB-011-2020 - APROX. 49 ITENS - Transmissores de força mecânica, Fixadores diversos - VEJA DESCRITIVO DE ITENS 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=HYPERLINK("https://leilaoonline.com.br/lote/detalhe/56936", "501")</f>
      </c>
      <c r="B237" s="4" t="s">
        <f>=HYPERLINK("https://leilaoonline.com.br/lote/detalhe/56936", "082-007-2020 - 19 ITENS DIVERSOS, FILTRO, ELEMENTO - veja descritivo de itens - LOC. VITORIA/ES ")</f>
      </c>
      <c r="C237" s="4" t="inlineStr">
        <is>
          <t>Não vendido</t>
        </is>
      </c>
      <c r="D237" s="4" t="inlineStr">
        <is>
          <t>2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=HYPERLINK("https://leilaoonline.com.br/lote/detalhe/56937", "502")</f>
      </c>
      <c r="B238" s="4" t="s">
        <f>=HYPERLINK("https://leilaoonline.com.br/lote/detalhe/56937", "082-008-2020 - 515 ITENS DIVERSOS, AGITADOR, MODULO ELET, ANEIS E OUTROS- VEJA DESCRITIVO DE ITENS ")</f>
      </c>
      <c r="C238" s="4" t="inlineStr">
        <is>
          <t>Não vendido</t>
        </is>
      </c>
      <c r="D238" s="4" t="inlineStr">
        <is>
          <t>20</t>
        </is>
      </c>
      <c r="E238" s="5" t="inlineStr">
        <is>
          <t>2.600,00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=HYPERLINK("https://leilaoonline.com.br/lote/detalhe/56938", "503")</f>
      </c>
      <c r="B239" s="4" t="s">
        <f>=HYPERLINK("https://leilaoonline.com.br/lote/detalhe/56938", "CD-139-2020 - 20 PÇAS E PARTES, FREIO ELETROMAGNETICO LOC. BARÃO DE COCAIS /MG 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=HYPERLINK("https://leilaoonline.com.br/lote/detalhe/56900", "504")</f>
      </c>
      <c r="B240" s="4" t="s">
        <f>=HYPERLINK("https://leilaoonline.com.br/lote/detalhe/56900", "PIC-196-2020- 210 ITENS, PARAFUSOS E OUTROS - veja descritivo de itens - LOC. Itabirito / Minas Gerais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=HYPERLINK("https://leilaoonline.com.br/lote/detalhe/56940", "506")</f>
      </c>
      <c r="B241" s="4" t="s">
        <f>=HYPERLINK("https://leilaoonline.com.br/lote/detalhe/56940", "PIC-198-2020- 438 ITENS, BICOS, TRAVAS E OUTROS - veja descritivo de itens - LOC. Itabirito / Minas Gerais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=HYPERLINK("https://leilaoonline.com.br/lote/detalhe/56941", "510")</f>
      </c>
      <c r="B242" s="4" t="s">
        <f>=HYPERLINK("https://leilaoonline.com.br/lote/detalhe/56941", "PIC-202-2020- 25 ITENS, LUVA ,ANEL E OUTROS - veja descritivo de itens - LOC. Itabirito / Minas Gerais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=HYPERLINK("https://leilaoonline.com.br/lote/detalhe/56942", "511")</f>
      </c>
      <c r="B243" s="4" t="s">
        <f>=HYPERLINK("https://leilaoonline.com.br/lote/detalhe/56942", "PIC-203-2020- 03 ITENS, TAMPA, MANCAL - veja descritivo de itens -LOC. Itabirito / Minas Gerais 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=HYPERLINK("https://leilaoonline.com.br/lote/detalhe/56945", "514")</f>
      </c>
      <c r="B244" s="4" t="s">
        <f>=HYPERLINK("https://leilaoonline.com.br/lote/detalhe/56945", "MUT-022-2020 - APROX. 78 ITENS - Componentes e acessórios de motores, Material elétrico E OUTROS - VEJA DESCRITIVO DE ITENS")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=HYPERLINK("https://leilaoonline.com.br/lote/detalhe/56946", "515")</f>
      </c>
      <c r="B245" s="4" t="s">
        <f>=HYPERLINK("https://leilaoonline.com.br/lote/detalhe/56946", "MUT-023-2020 - APROX. 807 ITENS - Material elétrico, Juntas e vedações E OUTROS - VEJA DESCRITIVO DE ITENS")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=HYPERLINK("https://leilaoonline.com.br/lote/detalhe/57628", "518")</f>
      </c>
      <c r="B246" s="4" t="s">
        <f>=HYPERLINK("https://leilaoonline.com.br/lote/detalhe/57628", "CD-115-2020 - 26 ITENS - Peças acessórios equipamentos carregamento elevação - veja descritivo de itens - LOC. Barão de Cocais/Minas Gerais")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=HYPERLINK("https://leilaoonline.com.br/lote/detalhe/56947", "519")</f>
      </c>
      <c r="B247" s="4" t="s">
        <f>=HYPERLINK("https://leilaoonline.com.br/lote/detalhe/56947", "MUT-028-2020 - APROX. 26 ITENS - Peças e acessórios de veículo pesado, Válvulas E OUTROS - VEJA DESCRITIVO DE ITENS")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=HYPERLINK("https://leilaoonline.com.br/lote/detalhe/56944", "521")</f>
      </c>
      <c r="B248" s="4" t="s">
        <f>=HYPERLINK("https://leilaoonline.com.br/lote/detalhe/56944", "TIG-012-2020- 5 CARTÕES MC - VEJA DESCRITIVO DE ITENS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150.00</t>
        </is>
      </c>
    </row>
    <row collapsed="false" customFormat="false" customHeight="false" hidden="false" ht="12.1" outlineLevel="0" r="249">
      <c r="A249" s="5" t="s">
        <f>=HYPERLINK("https://leilaoonline.com.br/lote/detalhe/56931", "523")</f>
      </c>
      <c r="B249" s="4" t="s">
        <f>=HYPERLINK("https://leilaoonline.com.br/lote/detalhe/56931", "CD-133-2020 - 30 ITENS Fixadores diversos - veja descritivo de itens - LOC. Barão de Cocais/Minas Gerais")</f>
      </c>
      <c r="C249" s="4" t="inlineStr">
        <is>
          <t>Vendido</t>
        </is>
      </c>
      <c r="D249" s="4" t="inlineStr">
        <is>
          <t>8</t>
        </is>
      </c>
      <c r="E249" s="5" t="inlineStr">
        <is>
          <t>850,00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=HYPERLINK("https://leilaoonline.com.br/lote/detalhe/56954", "524")</f>
      </c>
      <c r="B250" s="4" t="s">
        <f>=HYPERLINK("https://leilaoonline.com.br/lote/detalhe/56954", "SLS-MRO-030-2020 - APROX 1.639 ITENS DIVERSOS, VALVULA ACIONAMENTO, LUVAS , ANEL E OUTROS - VEJA DESCRITIVO DE ITENS ")</f>
      </c>
      <c r="C250" s="4" t="inlineStr">
        <is>
          <t>Não vendido</t>
        </is>
      </c>
      <c r="D250" s="4" t="inlineStr">
        <is>
          <t>4</t>
        </is>
      </c>
      <c r="E250" s="5" t="inlineStr">
        <is>
          <t>600,00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=HYPERLINK("https://leilaoonline.com.br/lote/detalhe/56955", "526")</f>
      </c>
      <c r="B251" s="4" t="s">
        <f>=HYPERLINK("https://leilaoonline.com.br/lote/detalhe/56955", "SLS-MRO-028-2020-6.154 ITENS DIVERSOS, MODULO ELETRICO DIVERSOS E OUTROS - VEJA DESCRITIVO DE ITENS ")</f>
      </c>
      <c r="C251" s="4" t="inlineStr">
        <is>
          <t>Vendido</t>
        </is>
      </c>
      <c r="D251" s="4" t="inlineStr">
        <is>
          <t>20</t>
        </is>
      </c>
      <c r="E251" s="5" t="inlineStr">
        <is>
          <t>4.800,00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=HYPERLINK("https://leilaoonline.com.br/lote/detalhe/56956", "527")</f>
      </c>
      <c r="B252" s="4" t="s">
        <f>=HYPERLINK("https://leilaoonline.com.br/lote/detalhe/56956", "SLS-MRO-027-2020- 3.1836 ITENS DIVERSOS, Juntas e vedações, ARRUELAS, MANGUEIRAS E OUTROS - VEJA DESCRITIVO DE ITENS 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500,00</t>
        </is>
      </c>
      <c r="F252" s="4" t="inlineStr">
        <is>
          <t>150.00</t>
        </is>
      </c>
    </row>
    <row collapsed="false" customFormat="false" customHeight="false" hidden="false" ht="12.1" outlineLevel="0" r="253">
      <c r="A253" s="5" t="s">
        <f>=HYPERLINK("https://leilaoonline.com.br/lote/detalhe/56971", "528")</f>
      </c>
      <c r="B253" s="4" t="s">
        <f>=HYPERLINK("https://leilaoonline.com.br/lote/detalhe/56971", "SLS-MRO-005-2020 - APROX. 938 ITENS - Peças e acessórios de transportador de correia E OUTROS - VEJA DESCRITIVO DE ITENS ")</f>
      </c>
      <c r="C253" s="4" t="inlineStr">
        <is>
          <t>Não vendido</t>
        </is>
      </c>
      <c r="D253" s="4" t="inlineStr">
        <is>
          <t>62</t>
        </is>
      </c>
      <c r="E253" s="5" t="inlineStr">
        <is>
          <t>15.750,00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=HYPERLINK("https://leilaoonline.com.br/lote/detalhe/56972", "600")</f>
      </c>
      <c r="B254" s="4" t="s">
        <f>=HYPERLINK("https://leilaoonline.com.br/lote/detalhe/56972", "SSG-018-2020- 101 ITENS, CONJUNTO SENSOR, DISJUNTOR, TUBOS E OUTROS- VEJA DESCRITIVO  DE ITENS ")</f>
      </c>
      <c r="C254" s="4" t="inlineStr">
        <is>
          <t>Não vendido</t>
        </is>
      </c>
      <c r="D254" s="4" t="inlineStr">
        <is>
          <t>4</t>
        </is>
      </c>
      <c r="E254" s="5" t="inlineStr">
        <is>
          <t>950,00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=HYPERLINK("https://leilaoonline.com.br/lote/detalhe/56973", "601")</f>
      </c>
      <c r="B255" s="4" t="s">
        <f>=HYPERLINK("https://leilaoonline.com.br/lote/detalhe/56973", "SSG-017-2020-MRO- 296 ITENS DIVERSOS, ANEIS COMPONENTES, CAPACITOR, E OUTROS- VEJA DESCRITIVO DE ITENS ")</f>
      </c>
      <c r="C255" s="4" t="inlineStr">
        <is>
          <t>Vendido</t>
        </is>
      </c>
      <c r="D255" s="4" t="inlineStr">
        <is>
          <t>32</t>
        </is>
      </c>
      <c r="E255" s="5" t="inlineStr">
        <is>
          <t>5.450,00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=HYPERLINK("https://leilaoonline.com.br/lote/detalhe/56760", "604")</f>
      </c>
      <c r="B256" s="4" t="s">
        <f>=HYPERLINK("https://leilaoonline.com.br/lote/detalhe/56760", "SSG-011-2020-CP08- COMPRESSOR  Atlas Copco, XAHS157, ANO 2011- LOC. Canaa dos Carajás/PA")</f>
      </c>
      <c r="C256" s="4" t="inlineStr">
        <is>
          <t>Vendido</t>
        </is>
      </c>
      <c r="D256" s="4" t="inlineStr">
        <is>
          <t>41</t>
        </is>
      </c>
      <c r="E256" s="5" t="inlineStr">
        <is>
          <t>12.350,00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=HYPERLINK("https://leilaoonline.com.br/lote/detalhe/56974", "606")</f>
      </c>
      <c r="B257" s="4" t="s">
        <f>=HYPERLINK("https://leilaoonline.com.br/lote/detalhe/56974", "SLS-MRO-039-2020- 648 ITENS, Arruelas, Conjunto de parafusos E OUTROS - VEJA DESCRITIVO DE ITENS ")</f>
      </c>
      <c r="C257" s="4" t="inlineStr">
        <is>
          <t>Vendido</t>
        </is>
      </c>
      <c r="D257" s="4" t="inlineStr">
        <is>
          <t>23</t>
        </is>
      </c>
      <c r="E257" s="5" t="inlineStr">
        <is>
          <t>4.600,00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=HYPERLINK("https://leilaoonline.com.br/lote/detalhe/56975", "608")</f>
      </c>
      <c r="B258" s="4" t="s">
        <f>=HYPERLINK("https://leilaoonline.com.br/lote/detalhe/56975", "SLS-MRO-037-2020- 275 MANGA FILTR POLIESTER 550G/M2 160MM, UNOTECH - LOC.São Luis - MA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=HYPERLINK("https://leilaoonline.com.br/lote/detalhe/56976", "609")</f>
      </c>
      <c r="B259" s="4" t="s">
        <f>=HYPERLINK("https://leilaoonline.com.br/lote/detalhe/56976", "SLS-MRO-036-2020- 338 ITENS, ARTICULACAO COMPONENTE, CALCA PROTECAO NOMEX, E OUTROS- VEJA DESCRITIVO DE ITENS ")</f>
      </c>
      <c r="C259" s="4" t="inlineStr">
        <is>
          <t>Não vendido</t>
        </is>
      </c>
      <c r="D259" s="4" t="inlineStr">
        <is>
          <t>29</t>
        </is>
      </c>
      <c r="E259" s="5" t="inlineStr">
        <is>
          <t>6.000,00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=HYPERLINK("https://leilaoonline.com.br/lote/detalhe/56977", "610")</f>
      </c>
      <c r="B260" s="4" t="s">
        <f>=HYPERLINK("https://leilaoonline.com.br/lote/detalhe/56977", "SLS-MRO-035-2020- 44 ITENS, LUVA SEGURANCA, MODULO ELETRONICO, VEJA DESCRITIVO DE ITENS ")</f>
      </c>
      <c r="C260" s="4" t="inlineStr">
        <is>
          <t>Vendido</t>
        </is>
      </c>
      <c r="D260" s="4" t="inlineStr">
        <is>
          <t>36</t>
        </is>
      </c>
      <c r="E260" s="5" t="inlineStr">
        <is>
          <t>7.700,00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=HYPERLINK("https://leilaoonline.com.br/lote/detalhe/56978", "612")</f>
      </c>
      <c r="B261" s="4" t="s">
        <f>=HYPERLINK("https://leilaoonline.com.br/lote/detalhe/56978", "SLS-MRO-033-2020- 1308 ITENS, CHAPA DESGASTE, MOLA COMPONENTE - VEJA DESCRITIVO DE ITENS ")</f>
      </c>
      <c r="C261" s="4" t="inlineStr">
        <is>
          <t>Não vendido</t>
        </is>
      </c>
      <c r="D261" s="4" t="inlineStr">
        <is>
          <t>5</t>
        </is>
      </c>
      <c r="E261" s="5" t="inlineStr">
        <is>
          <t>1.100,00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=HYPERLINK("https://leilaoonline.com.br/lote/detalhe/56761", "614")</f>
      </c>
      <c r="B262" s="4" t="s">
        <f>=HYPERLINK("https://leilaoonline.com.br/lote/detalhe/56761", "SLS-EQZIPI-007-2020- 04 ITENS, BEBEDOURO ESMALTEC, FORNO MICROONDAS PANASONIC- VEJA DESCRITIVO DE ITENS 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500,00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=HYPERLINK("https://leilaoonline.com.br/lote/detalhe/56979", "615")</f>
      </c>
      <c r="B263" s="4" t="s">
        <f>=HYPERLINK("https://leilaoonline.com.br/lote/detalhe/56979", "SLS-EQ-012-2020 -120 Cadeiras de escritório modelos diversas, veja descritivo de itens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500,00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=HYPERLINK("https://leilaoonline.com.br/lote/detalhe/56980", "616")</f>
      </c>
      <c r="B264" s="4" t="s">
        <f>=HYPERLINK("https://leilaoonline.com.br/lote/detalhe/56980", "SLS-EQ-011-2020 -APROX. 120 Cadeiria de escritório modelos diversas, veja descritivo de itens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500,00</t>
        </is>
      </c>
      <c r="F264" s="4" t="inlineStr">
        <is>
          <t>150.00</t>
        </is>
      </c>
    </row>
    <row collapsed="false" customFormat="false" customHeight="false" hidden="false" ht="12.1" outlineLevel="0" r="265">
      <c r="A265" s="5" t="s">
        <f>=HYPERLINK("https://leilaoonline.com.br/lote/detalhe/56981", "617")</f>
      </c>
      <c r="B265" s="4" t="s">
        <f>=HYPERLINK("https://leilaoonline.com.br/lote/detalhe/56981", "SLS-EQ-006-2020- 01 BEBEDOURO TIPO ELETRONICO; CAPACIDADE 20L; MIDEA PURIFICADOR DE AGUA-LOC.São Luís / MA")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150.00</t>
        </is>
      </c>
    </row>
    <row collapsed="false" customFormat="false" customHeight="false" hidden="false" ht="12.1" outlineLevel="0" r="266">
      <c r="A266" s="5" t="s">
        <f>=HYPERLINK("https://leilaoonline.com.br/lote/detalhe/56982", "624")</f>
      </c>
      <c r="B266" s="4" t="s">
        <f>=HYPERLINK("https://leilaoonline.com.br/lote/detalhe/56982", "PIC-256-2020 -132 ITENS, AMORTECEDOR DF, VALVULA HIDR DIRECIONAL E OUTROS- VEJA DESCRITIVO DE ITENS ")</f>
      </c>
      <c r="C266" s="4" t="inlineStr">
        <is>
          <t>Vendido</t>
        </is>
      </c>
      <c r="D266" s="4" t="inlineStr">
        <is>
          <t>3</t>
        </is>
      </c>
      <c r="E266" s="5" t="inlineStr">
        <is>
          <t>1.700,00</t>
        </is>
      </c>
      <c r="F266" s="4" t="inlineStr">
        <is>
          <t>150.00</t>
        </is>
      </c>
    </row>
    <row collapsed="false" customFormat="false" customHeight="false" hidden="false" ht="12.1" outlineLevel="0" r="267">
      <c r="A267" s="5" t="s">
        <f>=HYPERLINK("https://leilaoonline.com.br/lote/detalhe/56906", "625")</f>
      </c>
      <c r="B267" s="4" t="s">
        <f>=HYPERLINK("https://leilaoonline.com.br/lote/detalhe/56906", "PIC-255-2020- 42 ITENS, PNEU VEICULO LEVE, POLIA COMPONENTE E OUTROS - VEJA DESCRITIVO DE ITENS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1.100,00</t>
        </is>
      </c>
      <c r="F267" s="4" t="inlineStr">
        <is>
          <t>150.00</t>
        </is>
      </c>
    </row>
    <row collapsed="false" customFormat="false" customHeight="false" hidden="false" ht="12.1" outlineLevel="0" r="268">
      <c r="A268" s="5" t="s">
        <f>=HYPERLINK("https://leilaoonline.com.br/lote/detalhe/56984", "627")</f>
      </c>
      <c r="B268" s="4" t="s">
        <f>=HYPERLINK("https://leilaoonline.com.br/lote/detalhe/56984", "PIC-253-2020- 46 ITENS, CHAVETA PARALELA, ELEMENTO FILT FLUID,TUBO E OUTROS - VEJA DESCRITIVO DE ITENS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150.00</t>
        </is>
      </c>
    </row>
    <row collapsed="false" customFormat="false" customHeight="false" hidden="false" ht="12.1" outlineLevel="0" r="269">
      <c r="A269" s="5" t="s">
        <f>=HYPERLINK("https://leilaoonline.com.br/lote/detalhe/56985", "628")</f>
      </c>
      <c r="B269" s="4" t="s">
        <f>=HYPERLINK("https://leilaoonline.com.br/lote/detalhe/56985", "PIC-252-2020- 145 ITENS, CONECTOR P/CABO, GAXETA VEDACAO BOMBA E OUTROS - VEJA DESCRITIVO DE ITENS ")</f>
      </c>
      <c r="C269" s="4" t="inlineStr">
        <is>
          <t>Vendido</t>
        </is>
      </c>
      <c r="D269" s="4" t="inlineStr">
        <is>
          <t>17</t>
        </is>
      </c>
      <c r="E269" s="5" t="inlineStr">
        <is>
          <t>2.900,00</t>
        </is>
      </c>
      <c r="F269" s="4" t="inlineStr">
        <is>
          <t>150.00</t>
        </is>
      </c>
    </row>
    <row collapsed="false" customFormat="false" customHeight="false" hidden="false" ht="12.1" outlineLevel="0" r="270">
      <c r="A270" s="5" t="s">
        <f>=HYPERLINK("https://leilaoonline.com.br/lote/detalhe/56986", "629")</f>
      </c>
      <c r="B270" s="4" t="s">
        <f>=HYPERLINK("https://leilaoonline.com.br/lote/detalhe/56986", "PIC-251-2020- 20 ITENS , CORRENTES DE TRANSMISSÃO , TRANSFORMADORES E OUTROS - VEJA DESCRITIVPO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=HYPERLINK("https://leilaoonline.com.br/lote/detalhe/56907", "631")</f>
      </c>
      <c r="B271" s="4" t="s">
        <f>=HYPERLINK("https://leilaoonline.com.br/lote/detalhe/56907", "PIC-247-2020 - 179 ITENS, AJUSTADOR, VALVULA ALIVIO, TUBO E OUTROS - VEJA DESCRITIVO DE ITENS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=HYPERLINK("https://leilaoonline.com.br/lote/detalhe/56987", "632")</f>
      </c>
      <c r="B272" s="4" t="s">
        <f>=HYPERLINK("https://leilaoonline.com.br/lote/detalhe/56987", "PIC-246-2020 -21 ITENS, PINOS, REVESTIMENTOS COMPONETE E OUTROS - VEJA DESCRITIVO DE ITENS")</f>
      </c>
      <c r="C272" s="4" t="inlineStr">
        <is>
          <t>Não vendido</t>
        </is>
      </c>
      <c r="D272" s="4" t="inlineStr">
        <is>
          <t>3</t>
        </is>
      </c>
      <c r="E272" s="5" t="inlineStr">
        <is>
          <t>800,00</t>
        </is>
      </c>
      <c r="F272" s="4" t="inlineStr">
        <is>
          <t>150.00</t>
        </is>
      </c>
    </row>
    <row collapsed="false" customFormat="false" customHeight="false" hidden="false" ht="12.1" outlineLevel="0" r="273">
      <c r="A273" s="5" t="s">
        <f>=HYPERLINK("https://leilaoonline.com.br/lote/detalhe/56988", "633")</f>
      </c>
      <c r="B273" s="4" t="s">
        <f>=HYPERLINK("https://leilaoonline.com.br/lote/detalhe/56988", "PIC-245-2020 - 74 ITENS, CORREIAS, MANCAIS E OUTROS- VEJA DESCRITIVO DE ITENS ")</f>
      </c>
      <c r="C273" s="4" t="inlineStr">
        <is>
          <t>Não vendido</t>
        </is>
      </c>
      <c r="D273" s="4" t="inlineStr">
        <is>
          <t>4</t>
        </is>
      </c>
      <c r="E273" s="5" t="inlineStr">
        <is>
          <t>950,00</t>
        </is>
      </c>
      <c r="F273" s="4" t="inlineStr">
        <is>
          <t>150.00</t>
        </is>
      </c>
    </row>
    <row collapsed="false" customFormat="false" customHeight="false" hidden="false" ht="12.1" outlineLevel="0" r="274">
      <c r="A274" s="5" t="s">
        <f>=HYPERLINK("https://leilaoonline.com.br/lote/detalhe/57640", "634")</f>
      </c>
      <c r="B274" s="4" t="s">
        <f>=HYPERLINK("https://leilaoonline.com.br/lote/detalhe/57640", "PIC-244-2020 - 92 ITENS, ANEL COMPONENTE, ABRAÇADEIA, BASE COMPONENTE E OUTROS- VEJA DESCRITIVO DE ITENS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150.00</t>
        </is>
      </c>
    </row>
    <row collapsed="false" customFormat="false" customHeight="false" hidden="false" ht="12.1" outlineLevel="0" r="275">
      <c r="A275" s="5" t="s">
        <f>=HYPERLINK("https://leilaoonline.com.br/lote/detalhe/56989", "637")</f>
      </c>
      <c r="B275" s="4" t="s">
        <f>=HYPERLINK("https://leilaoonline.com.br/lote/detalhe/56989", "PIC-228-2020-30 ITENS, ROLETES E ROLO TRANSPORTADOR - VEJA DESCRITIVO DE ITENS")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=HYPERLINK("https://leilaoonline.com.br/lote/detalhe/56908", "638")</f>
      </c>
      <c r="B276" s="4" t="s">
        <f>=HYPERLINK("https://leilaoonline.com.br/lote/detalhe/56908", "PIC-225-2020- 644 ITENS, VALVULAS, FILTROS DE AR E OUTROS - VEJA DESCRITIVO DE ITENS ")</f>
      </c>
      <c r="C276" s="4" t="inlineStr">
        <is>
          <t>Vendido</t>
        </is>
      </c>
      <c r="D276" s="4" t="inlineStr">
        <is>
          <t>2</t>
        </is>
      </c>
      <c r="E276" s="5" t="inlineStr">
        <is>
          <t>800,00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=HYPERLINK("https://leilaoonline.com.br/lote/detalhe/56943", "639")</f>
      </c>
      <c r="B277" s="4" t="s">
        <f>=HYPERLINK("https://leilaoonline.com.br/lote/detalhe/56943", "MUT-001-2020 - 10 Cadeiras c/ Mesa Acoplada,1 Banco d Carro Marca Isri Isringhausen - LOC. NOVA LIMA-MG")</f>
      </c>
      <c r="C277" s="4" t="inlineStr">
        <is>
          <t>Não vendido</t>
        </is>
      </c>
      <c r="D277" s="4" t="inlineStr">
        <is>
          <t>1</t>
        </is>
      </c>
      <c r="E277" s="5" t="inlineStr">
        <is>
          <t>200,00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=HYPERLINK("https://leilaoonline.com.br/lote/detalhe/56990", "641")</f>
      </c>
      <c r="B278" s="4" t="s">
        <f>=HYPERLINK("https://leilaoonline.com.br/lote/detalhe/56990", "PIC-221-2020- 42 ITENS, TELA PENEIRA, CUNHA COMPONENTE - VEJA DESCRITIVO DE ITENS 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650,00</t>
        </is>
      </c>
      <c r="F278" s="4" t="inlineStr">
        <is>
          <t>150.00</t>
        </is>
      </c>
    </row>
    <row collapsed="false" customFormat="false" customHeight="false" hidden="false" ht="12.1" outlineLevel="0" r="279">
      <c r="A279" s="5" t="s">
        <f>=HYPERLINK("https://leilaoonline.com.br/lote/detalhe/56991", "644")</f>
      </c>
      <c r="B279" s="4" t="s">
        <f>=HYPERLINK("https://leilaoonline.com.br/lote/detalhe/56991", "OIA-024-2020- 425 ITENS, MEDIDOR COMPONENTE, PASTILHAS E OUTROS - VEJA DESCRITIVO DE ITENS 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950,00</t>
        </is>
      </c>
      <c r="F279" s="4" t="inlineStr">
        <is>
          <t>150.00</t>
        </is>
      </c>
    </row>
    <row collapsed="false" customFormat="false" customHeight="false" hidden="false" ht="12.1" outlineLevel="0" r="280">
      <c r="A280" s="5" t="s">
        <f>=HYPERLINK("https://leilaoonline.com.br/lote/detalhe/56992", "645")</f>
      </c>
      <c r="B280" s="4" t="s">
        <f>=HYPERLINK("https://leilaoonline.com.br/lote/detalhe/56992", "OIA-022-2020- 45 ITENS, ELEMENTO FILTRO FLUIDO, CHAVE COMPONENTE E OUTRO - VEJA DESCRITIVO DE ITENS ")</f>
      </c>
      <c r="C280" s="4" t="inlineStr">
        <is>
          <t>Não vendido</t>
        </is>
      </c>
      <c r="D280" s="4" t="inlineStr">
        <is>
          <t>6</t>
        </is>
      </c>
      <c r="E280" s="5" t="inlineStr">
        <is>
          <t>1.250,00</t>
        </is>
      </c>
      <c r="F280" s="4" t="inlineStr">
        <is>
          <t>150.00</t>
        </is>
      </c>
    </row>
    <row collapsed="false" customFormat="false" customHeight="false" hidden="false" ht="12.1" outlineLevel="0" r="281">
      <c r="A281" s="5" t="s">
        <f>=HYPERLINK("https://leilaoonline.com.br/lote/detalhe/56993", "646")</f>
      </c>
      <c r="B281" s="4" t="s">
        <f>=HYPERLINK("https://leilaoonline.com.br/lote/detalhe/56993", "OIA-021-2020 - 197 ITENS, BUCHA COMPONENTE, TAMPA, RETENTOR E OUTROS - VEJA DESCRITIVO DE ITENS 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500,00</t>
        </is>
      </c>
      <c r="F281" s="4" t="inlineStr">
        <is>
          <t>150.00</t>
        </is>
      </c>
    </row>
    <row collapsed="false" customFormat="false" customHeight="false" hidden="false" ht="12.1" outlineLevel="0" r="282">
      <c r="A282" s="5" t="s">
        <f>=HYPERLINK("https://leilaoonline.com.br/lote/detalhe/56994", "647")</f>
      </c>
      <c r="B282" s="4" t="s">
        <f>=HYPERLINK("https://leilaoonline.com.br/lote/detalhe/56994", "OIA-020-2020 - 60 ITENS, VALVULA COMPONENTES DIVERSAS - VEJA DESCRITIVO DE ITESN ")</f>
      </c>
      <c r="C282" s="4" t="inlineStr">
        <is>
          <t>Vendido</t>
        </is>
      </c>
      <c r="D282" s="4" t="inlineStr">
        <is>
          <t>6</t>
        </is>
      </c>
      <c r="E282" s="5" t="inlineStr">
        <is>
          <t>1.700,00</t>
        </is>
      </c>
      <c r="F282" s="4" t="inlineStr">
        <is>
          <t>150.00</t>
        </is>
      </c>
    </row>
    <row collapsed="false" customFormat="false" customHeight="false" hidden="false" ht="12.1" outlineLevel="0" r="283">
      <c r="A283" s="5" t="s">
        <f>=HYPERLINK("https://leilaoonline.com.br/lote/detalhe/57641", "648")</f>
      </c>
      <c r="B283" s="4" t="s">
        <f>=HYPERLINK("https://leilaoonline.com.br/lote/detalhe/57641", "OIA-019-2020- 17 ITENS, MODULOS , BOTÃO - VEJA DESCRITIVO DE ITENS 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=HYPERLINK("https://leilaoonline.com.br/lote/detalhe/56995", "649")</f>
      </c>
      <c r="B284" s="4" t="s">
        <f>=HYPERLINK("https://leilaoonline.com.br/lote/detalhe/56995", "OIA-018-2020- 401 ITENS, CONJUNTO ELEMENTO FILTRANTE, FILTROS COMPONENTES- VEJA DESCRITIVO DE ITENS ")</f>
      </c>
      <c r="C284" s="4" t="inlineStr">
        <is>
          <t>Vendido</t>
        </is>
      </c>
      <c r="D284" s="4" t="inlineStr">
        <is>
          <t>3</t>
        </is>
      </c>
      <c r="E284" s="5" t="inlineStr">
        <is>
          <t>800,00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=HYPERLINK("https://leilaoonline.com.br/lote/detalhe/57028", "650")</f>
      </c>
      <c r="B285" s="4" t="s">
        <f>=HYPERLINK("https://leilaoonline.com.br/lote/detalhe/57028", "OIA-016-2020 - 445 ITENS, BLUSAO PROTEC ARAMIDA, CAMISA PROFISSIONAL NOMEX E OUTROS - VEJA DESCRITIVO DE ITENS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=HYPERLINK("https://leilaoonline.com.br/lote/detalhe/57030", "652")</f>
      </c>
      <c r="B286" s="4" t="s">
        <f>=HYPERLINK("https://leilaoonline.com.br/lote/detalhe/57030", "MUT-043-2020- 74 ITENS, FILTRO DE AR, ELEMENTOS, CORREIAS E OUTROS - VEJA DESCRITIVO DE ITENS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=HYPERLINK("https://leilaoonline.com.br/lote/detalhe/57032", "655")</f>
      </c>
      <c r="B287" s="4" t="s">
        <f>=HYPERLINK("https://leilaoonline.com.br/lote/detalhe/57032", "MUT-033-2020 - 08 Poltronas diversas ")</f>
      </c>
      <c r="C287" s="4" t="inlineStr">
        <is>
          <t>Não vendido</t>
        </is>
      </c>
      <c r="D287" s="4" t="inlineStr">
        <is>
          <t>2</t>
        </is>
      </c>
      <c r="E287" s="5" t="inlineStr">
        <is>
          <t>650,00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=HYPERLINK("https://leilaoonline.com.br/lote/detalhe/57033", "656")</f>
      </c>
      <c r="B288" s="4" t="s">
        <f>=HYPERLINK("https://leilaoonline.com.br/lote/detalhe/57033", "MUT-017-2020- 355 ITENS, Juntas e vedações, Mangueiras  - E OUTROS- VEJA DESCRITIVO DE ITENS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=HYPERLINK("https://leilaoonline.com.br/lote/detalhe/56910", "658")</f>
      </c>
      <c r="B289" s="4" t="s">
        <f>=HYPERLINK("https://leilaoonline.com.br/lote/detalhe/56910", "MUT-014-2020- 3.432 ITENS, FILTRO FLUIDO OLEO DIESEL, ELEMENTO FILT FLUID E OUTROS VEJA DESCRITIVO")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500,00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=HYPERLINK("https://leilaoonline.com.br/lote/detalhe/56911", "659")</f>
      </c>
      <c r="B290" s="4" t="s">
        <f>=HYPERLINK("https://leilaoonline.com.br/lote/detalhe/56911", "MUT-012-2020-45 ITENS, ESTATOR COMPONENTE, MOLA COMPONENTE E OUTROS- VEJA DESCRITIVO")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150.00</t>
        </is>
      </c>
    </row>
    <row collapsed="false" customFormat="false" customHeight="false" hidden="false" ht="12.1" outlineLevel="0" r="291">
      <c r="A291" s="5" t="s">
        <f>=HYPERLINK("https://leilaoonline.com.br/lote/detalhe/57034", "663")</f>
      </c>
      <c r="B291" s="4" t="s">
        <f>=HYPERLINK("https://leilaoonline.com.br/lote/detalhe/57034", "MUT-007-2020 - 870 ITENS, TERMOSTATO COMPONENTE, VALVULA COMPONENTE E OUTROS- VEJA DESCRITIVO ")</f>
      </c>
      <c r="C291" s="4" t="inlineStr">
        <is>
          <t>Vendido</t>
        </is>
      </c>
      <c r="D291" s="4" t="inlineStr">
        <is>
          <t>8</t>
        </is>
      </c>
      <c r="E291" s="5" t="inlineStr">
        <is>
          <t>2.000,00</t>
        </is>
      </c>
      <c r="F291" s="4" t="inlineStr">
        <is>
          <t>150.00</t>
        </is>
      </c>
    </row>
    <row collapsed="false" customFormat="false" customHeight="false" hidden="false" ht="12.1" outlineLevel="0" r="292">
      <c r="A292" s="5" t="s">
        <f>=HYPERLINK("https://leilaoonline.com.br/lote/detalhe/57035", "664")</f>
      </c>
      <c r="B292" s="4" t="s">
        <f>=HYPERLINK("https://leilaoonline.com.br/lote/detalhe/57035", "MUT-005-2020, 190 ITENS, VALVULA CONTROLE , BICO PULVERIZADOR E OUTROS- VEJA DESCRITIVO ")</f>
      </c>
      <c r="C292" s="4" t="inlineStr">
        <is>
          <t>Vendido</t>
        </is>
      </c>
      <c r="D292" s="4" t="inlineStr">
        <is>
          <t>6</t>
        </is>
      </c>
      <c r="E292" s="5" t="inlineStr">
        <is>
          <t>1.250,00</t>
        </is>
      </c>
      <c r="F292" s="4" t="inlineStr">
        <is>
          <t>150.00</t>
        </is>
      </c>
    </row>
    <row collapsed="false" customFormat="false" customHeight="false" hidden="false" ht="12.1" outlineLevel="0" r="293">
      <c r="A293" s="5" t="s">
        <f>=HYPERLINK("https://leilaoonline.com.br/lote/detalhe/57036", "666")</f>
      </c>
      <c r="B293" s="4" t="s">
        <f>=HYPERLINK("https://leilaoonline.com.br/lote/detalhe/57036", "MCR-073-2020, 07 ITENS, EIXOS DIVERSOS - VEJA DESCRITIVO DE ITENS 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500,00</t>
        </is>
      </c>
      <c r="F293" s="4" t="inlineStr">
        <is>
          <t>150.00</t>
        </is>
      </c>
    </row>
    <row collapsed="false" customFormat="false" customHeight="false" hidden="false" ht="12.1" outlineLevel="0" r="294">
      <c r="A294" s="5" t="s">
        <f>=HYPERLINK("https://leilaoonline.com.br/lote/detalhe/57037", "667")</f>
      </c>
      <c r="B294" s="4" t="s">
        <f>=HYPERLINK("https://leilaoonline.com.br/lote/detalhe/57037", "MCR-072-2020, 56 ITENS, MANCAL, SENSOR, BUCHAS E OUTROS- VEJA DESCRITIVO DE ITENS 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600,00</t>
        </is>
      </c>
      <c r="F294" s="4" t="inlineStr">
        <is>
          <t>150.00</t>
        </is>
      </c>
    </row>
    <row collapsed="false" customFormat="false" customHeight="false" hidden="false" ht="12.1" outlineLevel="0" r="295">
      <c r="A295" s="5" t="s">
        <f>=HYPERLINK("https://leilaoonline.com.br/lote/detalhe/57038", "668")</f>
      </c>
      <c r="B295" s="4" t="s">
        <f>=HYPERLINK("https://leilaoonline.com.br/lote/detalhe/57038", "MCR-066-2020, 265 ITENS, TUBO MONTADO, CANTONEIRA E OUTROS- VEJA DESCRITIVO DE ITENS")</f>
      </c>
      <c r="C295" s="4" t="inlineStr">
        <is>
          <t>Não vendido</t>
        </is>
      </c>
      <c r="D295" s="4" t="inlineStr">
        <is>
          <t>3</t>
        </is>
      </c>
      <c r="E295" s="5" t="inlineStr">
        <is>
          <t>800,00</t>
        </is>
      </c>
      <c r="F295" s="4" t="inlineStr">
        <is>
          <t>150.00</t>
        </is>
      </c>
    </row>
    <row collapsed="false" customFormat="false" customHeight="false" hidden="false" ht="12.1" outlineLevel="0" r="296">
      <c r="A296" s="5" t="s">
        <f>=HYPERLINK("https://leilaoonline.com.br/lote/detalhe/57041", "670")</f>
      </c>
      <c r="B296" s="4" t="s">
        <f>=HYPERLINK("https://leilaoonline.com.br/lote/detalhe/57041", "MCR-063-2020 -01 FOGAO, USADO, COM 06 BOCAS COR BRANCO  CLEN ACENDIMENTO. AUTOMATICO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=HYPERLINK("https://leilaoonline.com.br/lote/detalhe/57042", "671")</f>
      </c>
      <c r="B297" s="4" t="s">
        <f>=HYPERLINK("https://leilaoonline.com.br/lote/detalhe/57042", "MCR-062-2020- APROX. 54 CADEIRAS DIVERSAS - LOC. Corumbá/MS")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=HYPERLINK("https://leilaoonline.com.br/lote/detalhe/57043", "672")</f>
      </c>
      <c r="B298" s="4" t="s">
        <f>=HYPERLINK("https://leilaoonline.com.br/lote/detalhe/57043", "MCR-057-2020-6 ITENS, AMOSTRADOR DE CORREIA - LOC. Corumbá/MS")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2.800,00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=HYPERLINK("https://leilaoonline.com.br/lote/detalhe/57044", "673")</f>
      </c>
      <c r="B299" s="4" t="s">
        <f>=HYPERLINK("https://leilaoonline.com.br/lote/detalhe/57044", "MCR-054-2020 - APROX. 6 Bebedouros de coluna para garrafão- LOC. Corumbá/MS")</f>
      </c>
      <c r="C299" s="4" t="inlineStr">
        <is>
          <t>Vendido</t>
        </is>
      </c>
      <c r="D299" s="4" t="inlineStr">
        <is>
          <t>2</t>
        </is>
      </c>
      <c r="E299" s="5" t="inlineStr">
        <is>
          <t>150,00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=HYPERLINK("https://leilaoonline.com.br/lote/detalhe/57052", "676")</f>
      </c>
      <c r="B300" s="4" t="s">
        <f>=HYPERLINK("https://leilaoonline.com.br/lote/detalhe/57052", "MCR-050-2020, 78 ITENS, TERMINAIS, MANGUEIRAS E OUTROS - VEJA DESCRITIVO DE ITENS 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150.00</t>
        </is>
      </c>
    </row>
    <row collapsed="false" customFormat="false" customHeight="false" hidden="false" ht="12.1" outlineLevel="0" r="301">
      <c r="A301" s="5" t="s">
        <f>=HYPERLINK("https://leilaoonline.com.br/lote/detalhe/57055", "677")</f>
      </c>
      <c r="B301" s="4" t="s">
        <f>=HYPERLINK("https://leilaoonline.com.br/lote/detalhe/57055", "MCR-049-2020, 164 ITENS, JOGO DE REPARO;VOLVO, ANEIS , GAXETAS E OUTROS- VEJA DESCRITIVO DE ITENS")</f>
      </c>
      <c r="C301" s="4" t="inlineStr">
        <is>
          <t>Vendido</t>
        </is>
      </c>
      <c r="D301" s="4" t="inlineStr">
        <is>
          <t>2</t>
        </is>
      </c>
      <c r="E301" s="5" t="inlineStr">
        <is>
          <t>600,00</t>
        </is>
      </c>
      <c r="F301" s="4" t="inlineStr">
        <is>
          <t>150.00</t>
        </is>
      </c>
    </row>
    <row collapsed="false" customFormat="false" customHeight="false" hidden="false" ht="12.1" outlineLevel="0" r="302">
      <c r="A302" s="5" t="s">
        <f>=HYPERLINK("https://leilaoonline.com.br/lote/detalhe/56912", "679")</f>
      </c>
      <c r="B302" s="4" t="s">
        <f>=HYPERLINK("https://leilaoonline.com.br/lote/detalhe/56912", "MCR-047-2020,1627 ITENS, BOCAIS, CARCAÇAS PLANET DE CARREGADEIRAS- VEJA DESCRITIVO DE ITENS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500,00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=HYPERLINK("https://leilaoonline.com.br/lote/detalhe/57056", "680")</f>
      </c>
      <c r="B303" s="4" t="s">
        <f>=HYPERLINK("https://leilaoonline.com.br/lote/detalhe/57056", "MCR-046-2020, 74 ITENS,CONTATO;TELEMECANIQUE, FUSIVEL -VEJA DESCRITIVO DE ITENS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500,00</t>
        </is>
      </c>
      <c r="F303" s="4" t="inlineStr">
        <is>
          <t>150.00</t>
        </is>
      </c>
    </row>
    <row collapsed="false" customFormat="false" customHeight="false" hidden="false" ht="12.1" outlineLevel="0" r="304">
      <c r="A304" s="5" t="s">
        <f>=HYPERLINK("https://leilaoonline.com.br/lote/detalhe/57058", "681")</f>
      </c>
      <c r="B304" s="4" t="s">
        <f>=HYPERLINK("https://leilaoonline.com.br/lote/detalhe/57058", "MCR-045-2020- 03  TRANSDUTOR 5573899500 ATLAS COPCO")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150.00</t>
        </is>
      </c>
    </row>
    <row collapsed="false" customFormat="false" customHeight="false" hidden="false" ht="12.1" outlineLevel="0" r="305">
      <c r="A305" s="5" t="s">
        <f>=HYPERLINK("https://leilaoonline.com.br/lote/detalhe/57059", "682")</f>
      </c>
      <c r="B305" s="4" t="s">
        <f>=HYPERLINK("https://leilaoonline.com.br/lote/detalhe/57059", "MCR-044-2020- APROX. 135 ANEIS VED 2751700 XYLEM - LOC. Corumbá/MS")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500,00</t>
        </is>
      </c>
      <c r="F305" s="4" t="inlineStr">
        <is>
          <t>150.00</t>
        </is>
      </c>
    </row>
    <row collapsed="false" customFormat="false" customHeight="false" hidden="false" ht="12.1" outlineLevel="0" r="306">
      <c r="A306" s="5" t="s">
        <f>=HYPERLINK("https://leilaoonline.com.br/lote/detalhe/57062", "684")</f>
      </c>
      <c r="B306" s="4" t="s">
        <f>=HYPERLINK("https://leilaoonline.com.br/lote/detalhe/57062", "MCR-042-2020- 28 ITENS, BOMBAS, BUCHAS, ANEIS - VEJADESCRITIVO DE ITENS ")</f>
      </c>
      <c r="C306" s="4" t="inlineStr">
        <is>
          <t>Não vendido</t>
        </is>
      </c>
      <c r="D306" s="4" t="inlineStr">
        <is>
          <t>1</t>
        </is>
      </c>
      <c r="E306" s="5" t="inlineStr">
        <is>
          <t>500,00</t>
        </is>
      </c>
      <c r="F306" s="4" t="inlineStr">
        <is>
          <t>150.00</t>
        </is>
      </c>
    </row>
    <row collapsed="false" customFormat="false" customHeight="false" hidden="false" ht="12.1" outlineLevel="0" r="307">
      <c r="A307" s="5" t="s">
        <f>=HYPERLINK("https://leilaoonline.com.br/lote/detalhe/57064", "685")</f>
      </c>
      <c r="B307" s="4" t="s">
        <f>=HYPERLINK("https://leilaoonline.com.br/lote/detalhe/57064", "MCR-041-2020 - 63 ITENS BEXIGA ACUMULADOR, KIT REPARO E OUTROS- VEJA DESCRITIVO DE ITENS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500,00</t>
        </is>
      </c>
      <c r="F307" s="4" t="inlineStr">
        <is>
          <t>150.00</t>
        </is>
      </c>
    </row>
    <row collapsed="false" customFormat="false" customHeight="false" hidden="false" ht="12.1" outlineLevel="0" r="308">
      <c r="A308" s="5" t="s">
        <f>=HYPERLINK("https://leilaoonline.com.br/lote/detalhe/57066", "687")</f>
      </c>
      <c r="B308" s="4" t="s">
        <f>=HYPERLINK("https://leilaoonline.com.br/lote/detalhe/57066", "MCR-039-2020 - 80 ITENS, FILTRO FLUID AR, ELEMENTO FILTR 4T 3131 CATERPILLAR- VEJA DESCRITIVO DE ITENS 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500,00</t>
        </is>
      </c>
      <c r="F308" s="4" t="inlineStr">
        <is>
          <t>150.00</t>
        </is>
      </c>
    </row>
    <row collapsed="false" customFormat="false" customHeight="false" hidden="false" ht="12.1" outlineLevel="0" r="309">
      <c r="A309" s="5" t="s">
        <f>=HYPERLINK("https://leilaoonline.com.br/lote/detalhe/57067", "688")</f>
      </c>
      <c r="B309" s="4" t="s">
        <f>=HYPERLINK("https://leilaoonline.com.br/lote/detalhe/57067", "MCR-038-2020- 890 ITENS, KIT VEDACAO, ACOPLAMENTO;VIBRADOR E OUTROS- VEJA DESCRITIVO DE ITENS ")</f>
      </c>
      <c r="C309" s="4" t="inlineStr">
        <is>
          <t>Não vendido</t>
        </is>
      </c>
      <c r="D309" s="4" t="inlineStr">
        <is>
          <t>1</t>
        </is>
      </c>
      <c r="E309" s="5" t="inlineStr">
        <is>
          <t>500,00</t>
        </is>
      </c>
      <c r="F309" s="4" t="inlineStr">
        <is>
          <t>150.00</t>
        </is>
      </c>
    </row>
    <row collapsed="false" customFormat="false" customHeight="false" hidden="false" ht="12.1" outlineLevel="0" r="310">
      <c r="A310" s="5" t="s">
        <f>=HYPERLINK("https://leilaoonline.com.br/lote/detalhe/57069", "689")</f>
      </c>
      <c r="B310" s="4" t="s">
        <f>=HYPERLINK("https://leilaoonline.com.br/lote/detalhe/57069", "MCR-037-2020- 672 ITENS , ARRUELAS, PARAFUSOS E OUTROS - VEJA DESCRITIVO DE ITENS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500,00</t>
        </is>
      </c>
      <c r="F310" s="4" t="inlineStr">
        <is>
          <t>150.00</t>
        </is>
      </c>
    </row>
    <row collapsed="false" customFormat="false" customHeight="false" hidden="false" ht="12.1" outlineLevel="0" r="311">
      <c r="A311" s="5" t="s">
        <f>=HYPERLINK("https://leilaoonline.com.br/lote/detalhe/57071", "691")</f>
      </c>
      <c r="B311" s="4" t="s">
        <f>=HYPERLINK("https://leilaoonline.com.br/lote/detalhe/57071", "MCR-034-2020- 392 ITENS, FUSIVEIS, SENSORES, BUCHAS E OUTROS- VEJA DESCRITIVO DE ITENS ")</f>
      </c>
      <c r="C311" s="4" t="inlineStr">
        <is>
          <t>Não vendido</t>
        </is>
      </c>
      <c r="D311" s="4" t="inlineStr">
        <is>
          <t>3</t>
        </is>
      </c>
      <c r="E311" s="5" t="inlineStr">
        <is>
          <t>800,00</t>
        </is>
      </c>
      <c r="F311" s="4" t="inlineStr">
        <is>
          <t>150.00</t>
        </is>
      </c>
    </row>
    <row collapsed="false" customFormat="false" customHeight="false" hidden="false" ht="12.1" outlineLevel="0" r="312">
      <c r="A312" s="5" t="s">
        <f>=HYPERLINK("https://leilaoonline.com.br/lote/detalhe/57073", "692")</f>
      </c>
      <c r="B312" s="4" t="s">
        <f>=HYPERLINK("https://leilaoonline.com.br/lote/detalhe/57073", "MCR-033-2020- 3.012 ITENS, CAPA PRENSÁVEL, TERMINAL PRENSÁVEL FLANGE E OUTROS - VEJA DESCRITIVO DE ITENS ")</f>
      </c>
      <c r="C312" s="4" t="inlineStr">
        <is>
          <t>Não vendido</t>
        </is>
      </c>
      <c r="D312" s="4" t="inlineStr">
        <is>
          <t>4</t>
        </is>
      </c>
      <c r="E312" s="5" t="inlineStr">
        <is>
          <t>950,00</t>
        </is>
      </c>
      <c r="F312" s="4" t="inlineStr">
        <is>
          <t>150.00</t>
        </is>
      </c>
    </row>
    <row collapsed="false" customFormat="false" customHeight="false" hidden="false" ht="12.1" outlineLevel="0" r="313">
      <c r="A313" s="5" t="s">
        <f>=HYPERLINK("https://leilaoonline.com.br/lote/detalhe/57074", "693")</f>
      </c>
      <c r="B313" s="4" t="s">
        <f>=HYPERLINK("https://leilaoonline.com.br/lote/detalhe/57074", "MCR-032-2020- 1.047 ITENS, VALVULAS REGULÁVEL, MANÔMETRO, ELEMENTO E OUTROS- VEJA DESCRITIVO DE ITENS ")</f>
      </c>
      <c r="C313" s="4" t="inlineStr">
        <is>
          <t>Não vendido</t>
        </is>
      </c>
      <c r="D313" s="4" t="inlineStr">
        <is>
          <t>11</t>
        </is>
      </c>
      <c r="E313" s="5" t="inlineStr">
        <is>
          <t>2.000,00</t>
        </is>
      </c>
      <c r="F313" s="4" t="inlineStr">
        <is>
          <t>150.00</t>
        </is>
      </c>
    </row>
    <row collapsed="false" customFormat="false" customHeight="false" hidden="false" ht="12.1" outlineLevel="0" r="314">
      <c r="A314" s="5" t="s">
        <f>=HYPERLINK("https://leilaoonline.com.br/lote/detalhe/57077", "694")</f>
      </c>
      <c r="B314" s="4" t="s">
        <f>=HYPERLINK("https://leilaoonline.com.br/lote/detalhe/57077", "MCR-030-2020- 51 ITENS, Juntas e vedações, BOMBAS E OUTROS- VEJA DESCRITIVO DE ITENS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500,00</t>
        </is>
      </c>
      <c r="F314" s="4" t="inlineStr">
        <is>
          <t>150.00</t>
        </is>
      </c>
    </row>
    <row collapsed="false" customFormat="false" customHeight="false" hidden="false" ht="12.1" outlineLevel="0" r="315">
      <c r="A315" s="5" t="s">
        <f>=HYPERLINK("https://leilaoonline.com.br/lote/detalhe/56999", "696")</f>
      </c>
      <c r="B315" s="4" t="s">
        <f>=HYPERLINK("https://leilaoonline.com.br/lote/detalhe/56999", "ITA-029-2020 - 270 ITENS - MATERIAL: Baterias, pilhas E Outros - veja descritivo de itens  - LOC. ITABIRA/MG")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400,00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=HYPERLINK("https://leilaoonline.com.br/lote/detalhe/57080", "697")</f>
      </c>
      <c r="B316" s="4" t="s">
        <f>=HYPERLINK("https://leilaoonline.com.br/lote/detalhe/57080", "TIG-017-2020- 02 PEÇAS MATERIAL DEFENSA EG-9000RB-D-00001_REV_A")</f>
      </c>
      <c r="C316" s="4" t="inlineStr">
        <is>
          <t>Vendido</t>
        </is>
      </c>
      <c r="D316" s="4" t="inlineStr">
        <is>
          <t>6</t>
        </is>
      </c>
      <c r="E316" s="5" t="inlineStr">
        <is>
          <t>1.250,00</t>
        </is>
      </c>
      <c r="F316" s="4" t="inlineStr">
        <is>
          <t>150.00</t>
        </is>
      </c>
    </row>
    <row collapsed="false" customFormat="false" customHeight="false" hidden="false" ht="12.1" outlineLevel="0" r="317">
      <c r="A317" s="5" t="s">
        <f>=HYPERLINK("https://leilaoonline.com.br/lote/detalhe/57082", "698")</f>
      </c>
      <c r="B317" s="4" t="s">
        <f>=HYPERLINK("https://leilaoonline.com.br/lote/detalhe/57082", "TIG-015-2020-02 ITENS CABO ACO 1/2POL ABNT NBR 6327, CALCADO SEGURANCA 45 PU BIDENS INJET")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500,00</t>
        </is>
      </c>
      <c r="F317" s="4" t="inlineStr">
        <is>
          <t>150.00</t>
        </is>
      </c>
    </row>
    <row collapsed="false" customFormat="false" customHeight="false" hidden="false" ht="12.1" outlineLevel="0" r="318">
      <c r="A318" s="5" t="s">
        <f>=HYPERLINK("https://leilaoonline.com.br/lote/detalhe/57085", "699")</f>
      </c>
      <c r="B318" s="4" t="s">
        <f>=HYPERLINK("https://leilaoonline.com.br/lote/detalhe/57085", "SLB-019-2020- 444 ITENS, PLACA BATENTE, CAIXA ROLAMENTOS, PARAFUSOS E OUTROS- VEJA DESCRITIVO DE ITENS ")</f>
      </c>
      <c r="C318" s="4" t="inlineStr">
        <is>
          <t>Vendido</t>
        </is>
      </c>
      <c r="D318" s="4" t="inlineStr">
        <is>
          <t>31</t>
        </is>
      </c>
      <c r="E318" s="5" t="inlineStr">
        <is>
          <t>5.000,00</t>
        </is>
      </c>
      <c r="F318" s="4" t="inlineStr">
        <is>
          <t>150.00</t>
        </is>
      </c>
    </row>
    <row collapsed="false" customFormat="false" customHeight="false" hidden="false" ht="12.1" outlineLevel="0" r="319">
      <c r="A319" s="5" t="s">
        <f>=HYPERLINK("https://leilaoonline.com.br/lote/detalhe/57086", "700")</f>
      </c>
      <c r="B319" s="4" t="s">
        <f>=HYPERLINK("https://leilaoonline.com.br/lote/detalhe/57086", "SLB-018-2020, 17 ITENS, GAVETAS EXTRAIVEIS- VEJUA DESCRITIVO DE ITENS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800,00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=HYPERLINK("https://leilaoonline.com.br/lote/detalhe/57087", "701")</f>
      </c>
      <c r="B320" s="4" t="s">
        <f>=HYPERLINK("https://leilaoonline.com.br/lote/detalhe/57087", "SLB-017-2020- 20 ITENS, GAVETAS EXTRAIVEIS- VEJA DESCRITIVO DE ITENS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150.00</t>
        </is>
      </c>
    </row>
    <row collapsed="false" customFormat="false" customHeight="false" hidden="false" ht="12.1" outlineLevel="0" r="321">
      <c r="A321" s="5" t="s">
        <f>=HYPERLINK("https://leilaoonline.com.br/lote/detalhe/57088", "702")</f>
      </c>
      <c r="B321" s="4" t="s">
        <f>=HYPERLINK("https://leilaoonline.com.br/lote/detalhe/57088", "SLB-016-2020- 163 ITENS, ANEIS VEDAÇÕES, PARAFUSOS E OUTROS- VEJA DESCRITIVO DE ITENS ")</f>
      </c>
      <c r="C321" s="4" t="inlineStr">
        <is>
          <t>Não vendido</t>
        </is>
      </c>
      <c r="D321" s="4" t="inlineStr">
        <is>
          <t>13</t>
        </is>
      </c>
      <c r="E321" s="5" t="inlineStr">
        <is>
          <t>2.300,00</t>
        </is>
      </c>
      <c r="F321" s="4" t="inlineStr">
        <is>
          <t>150.00</t>
        </is>
      </c>
    </row>
    <row collapsed="false" customFormat="false" customHeight="false" hidden="false" ht="12.1" outlineLevel="0" r="322">
      <c r="A322" s="5" t="s">
        <f>=HYPERLINK("https://leilaoonline.com.br/lote/detalhe/57095", "703")</f>
      </c>
      <c r="B322" s="4" t="s">
        <f>=HYPERLINK("https://leilaoonline.com.br/lote/detalhe/57095", "S11D-010-2020-MRO- 2.015 ITENS, ANEL FIXAÇÃO, PARAFUSOS, BUCHAS E OUTROS- VEJA DESCRITIVO DE ITENS")</f>
      </c>
      <c r="C322" s="4" t="inlineStr">
        <is>
          <t>Não vendido</t>
        </is>
      </c>
      <c r="D322" s="4" t="inlineStr">
        <is>
          <t>6</t>
        </is>
      </c>
      <c r="E322" s="5" t="inlineStr">
        <is>
          <t>1.250,00</t>
        </is>
      </c>
      <c r="F322" s="4" t="inlineStr">
        <is>
          <t>150.00</t>
        </is>
      </c>
    </row>
    <row collapsed="false" customFormat="false" customHeight="false" hidden="false" ht="12.1" outlineLevel="0" r="323">
      <c r="A323" s="5" t="s">
        <f>=HYPERLINK("https://leilaoonline.com.br/lote/detalhe/57000", "704")</f>
      </c>
      <c r="B323" s="4" t="s">
        <f>=HYPERLINK("https://leilaoonline.com.br/lote/detalhe/57000", "082-036-2020 - 9 ITENS - REFRIGERADORES DIVERSOS - VEJA DESCRITIVO DE ITENS")</f>
      </c>
      <c r="C323" s="4" t="inlineStr">
        <is>
          <t>Não vendido</t>
        </is>
      </c>
      <c r="D323" s="4" t="inlineStr">
        <is>
          <t>5</t>
        </is>
      </c>
      <c r="E323" s="5" t="inlineStr">
        <is>
          <t>1.100,00</t>
        </is>
      </c>
      <c r="F323" s="4" t="inlineStr">
        <is>
          <t>150.00</t>
        </is>
      </c>
    </row>
    <row collapsed="false" customFormat="false" customHeight="false" hidden="false" ht="12.1" outlineLevel="0" r="324">
      <c r="A324" s="5" t="s">
        <f>=HYPERLINK("https://leilaoonline.com.br/lote/detalhe/57090", "705")</f>
      </c>
      <c r="B324" s="4" t="s">
        <f>=HYPERLINK("https://leilaoonline.com.br/lote/detalhe/57090", "SFH-005-2020-110 ITENS, ACOPAMENTOS, CUBOS, BUCHAS E OUTROS - VEJA DESCRITIVO DE ITENS ")</f>
      </c>
      <c r="C324" s="4" t="inlineStr">
        <is>
          <t>Vendido</t>
        </is>
      </c>
      <c r="D324" s="4" t="inlineStr">
        <is>
          <t>1</t>
        </is>
      </c>
      <c r="E324" s="5" t="inlineStr">
        <is>
          <t>500,00</t>
        </is>
      </c>
      <c r="F324" s="4" t="inlineStr">
        <is>
          <t>150.00</t>
        </is>
      </c>
    </row>
    <row collapsed="false" customFormat="false" customHeight="false" hidden="false" ht="12.1" outlineLevel="0" r="325">
      <c r="A325" s="5" t="s">
        <f>=HYPERLINK("https://leilaoonline.com.br/lote/detalhe/57089", "706")</f>
      </c>
      <c r="B325" s="4" t="s">
        <f>=HYPERLINK("https://leilaoonline.com.br/lote/detalhe/57089", "SFH-006-2020-144 ITENS, COTOVELOS, ANEIS, ADAPTADORES E OUTROS-VEJA DESCRITIVO DE ITENS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150.00</t>
        </is>
      </c>
    </row>
    <row collapsed="false" customFormat="false" customHeight="false" hidden="false" ht="12.1" outlineLevel="0" r="326">
      <c r="A326" s="5" t="s">
        <f>=HYPERLINK("https://leilaoonline.com.br/lote/detalhe/57104", "707")</f>
      </c>
      <c r="B326" s="4" t="s">
        <f>=HYPERLINK("https://leilaoonline.com.br/lote/detalhe/57104", "PIC-238-2020 - APROX. 171 ITENS - Peças acessórios equipamentos carregamento elevação E OUTROS - VEJA DESCRITIVO DE ITENS")</f>
      </c>
      <c r="C326" s="4" t="inlineStr">
        <is>
          <t>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150.00</t>
        </is>
      </c>
    </row>
    <row collapsed="false" customFormat="false" customHeight="false" hidden="false" ht="12.1" outlineLevel="0" r="327">
      <c r="A327" s="5" t="s">
        <f>=HYPERLINK("https://leilaoonline.com.br/lote/detalhe/57103", "708")</f>
      </c>
      <c r="B327" s="4" t="s">
        <f>=HYPERLINK("https://leilaoonline.com.br/lote/detalhe/57103", "PIC-237-2020 - APROX. 94 ITENS - Instrumentos de medição e controle de pressão  E OUTROS - VEJA DESCRITIVO DE ITENS")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500,00</t>
        </is>
      </c>
      <c r="F327" s="4" t="inlineStr">
        <is>
          <t>150.00</t>
        </is>
      </c>
    </row>
    <row collapsed="false" customFormat="false" customHeight="false" hidden="false" ht="12.1" outlineLevel="0" r="328">
      <c r="A328" s="5" t="s">
        <f>=HYPERLINK("https://leilaoonline.com.br/lote/detalhe/57102", "709")</f>
      </c>
      <c r="B328" s="4" t="s">
        <f>=HYPERLINK("https://leilaoonline.com.br/lote/detalhe/57102", "PIC-236-2020 - 25 ITENS  - Mangueiras E OUTROS - VEJA DESCRITIVO DE ITENS")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500,00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=HYPERLINK("https://leilaoonline.com.br/lote/detalhe/57101", "710")</f>
      </c>
      <c r="B329" s="4" t="s">
        <f>=HYPERLINK("https://leilaoonline.com.br/lote/detalhe/57101", "PIC-234-2020 - APROX. 125 ITENS - Transmissores de força mecânica E OUTROS - VEJA DESCRITIVO DE ITENS")</f>
      </c>
      <c r="C329" s="4" t="inlineStr">
        <is>
          <t>Vendido</t>
        </is>
      </c>
      <c r="D329" s="4" t="inlineStr">
        <is>
          <t>1</t>
        </is>
      </c>
      <c r="E329" s="5" t="inlineStr">
        <is>
          <t>500,00</t>
        </is>
      </c>
      <c r="F329" s="4" t="inlineStr">
        <is>
          <t>150.00</t>
        </is>
      </c>
    </row>
    <row collapsed="false" customFormat="false" customHeight="false" hidden="false" ht="12.1" outlineLevel="0" r="330">
      <c r="A330" s="5" t="s">
        <f>=HYPERLINK("https://leilaoonline.com.br/lote/detalhe/57100", "711")</f>
      </c>
      <c r="B330" s="4" t="s">
        <f>=HYPERLINK("https://leilaoonline.com.br/lote/detalhe/57100", "PIC-233-2020 - 83 ITENS - Máquinas para escritório e seus suprimentos e acessórios E OUTROS - VEJA DESCRITIVO DE ITENS")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500,00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=HYPERLINK("https://leilaoonline.com.br/lote/detalhe/57099", "712")</f>
      </c>
      <c r="B331" s="4" t="s">
        <f>=HYPERLINK("https://leilaoonline.com.br/lote/detalhe/57099", "PIC-230-2020 - APROX. 142 ITENS - Transmissores de força mecânica E OUTROS - VEJA DESCRITIVO DE ITENS")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500,00</t>
        </is>
      </c>
      <c r="F331" s="4" t="inlineStr">
        <is>
          <t>150.00</t>
        </is>
      </c>
    </row>
    <row collapsed="false" customFormat="false" customHeight="false" hidden="false" ht="12.1" outlineLevel="0" r="332">
      <c r="A332" s="5" t="s">
        <f>=HYPERLINK("https://leilaoonline.com.br/lote/detalhe/57097", "713")</f>
      </c>
      <c r="B332" s="4" t="s">
        <f>=HYPERLINK("https://leilaoonline.com.br/lote/detalhe/57097", "PIC-224-2020 - APROX. 532 ITENS - Material elétrico E OUTROS - VEJA DESCRITIVO DE ITENS")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1.850,00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=HYPERLINK("https://leilaoonline.com.br/lote/detalhe/57096", "714")</f>
      </c>
      <c r="B333" s="4" t="s">
        <f>=HYPERLINK("https://leilaoonline.com.br/lote/detalhe/57096", "MUT-059-2020 - 64 ITENS - JUNTAS E VEDAÇÕES E OUTROS - VEJA DESCRITIVO DE ITENS")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500,00</t>
        </is>
      </c>
      <c r="F333" s="4" t="inlineStr">
        <is>
          <t>150.00</t>
        </is>
      </c>
    </row>
    <row collapsed="false" customFormat="false" customHeight="false" hidden="false" ht="12.1" outlineLevel="0" r="334">
      <c r="A334" s="5" t="s">
        <f>=HYPERLINK("https://leilaoonline.com.br/lote/detalhe/57094", "715")</f>
      </c>
      <c r="B334" s="4" t="s">
        <f>=HYPERLINK("https://leilaoonline.com.br/lote/detalhe/57094", "MUT-058-2020 - APROX. 653 ITENS - Fios e cabos e conexões elétricas E OUTROS - VEJA DESCRITIVO DE ITENS")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500,00</t>
        </is>
      </c>
      <c r="F334" s="4" t="inlineStr">
        <is>
          <t>150.00</t>
        </is>
      </c>
    </row>
    <row collapsed="false" customFormat="false" customHeight="false" hidden="false" ht="12.1" outlineLevel="0" r="335">
      <c r="A335" s="5" t="s">
        <f>=HYPERLINK("https://leilaoonline.com.br/lote/detalhe/57093", "716")</f>
      </c>
      <c r="B335" s="4" t="s">
        <f>=HYPERLINK("https://leilaoonline.com.br/lote/detalhe/57093", "MUT-057-2020 - 22 ITENS - Peças e acessórios de filtros E OUTROS - VEJA DESCRITIVO DE ITENS")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150.00</t>
        </is>
      </c>
    </row>
    <row collapsed="false" customFormat="false" customHeight="false" hidden="false" ht="12.1" outlineLevel="0" r="336">
      <c r="A336" s="5" t="s">
        <f>=HYPERLINK("https://leilaoonline.com.br/lote/detalhe/57001", "717")</f>
      </c>
      <c r="B336" s="4" t="s">
        <f>=HYPERLINK("https://leilaoonline.com.br/lote/detalhe/57001", "082-075-2020 - 1 JOGO DE SAPATA DESLIZANTE 311T-M-15005 DESENHO V")</f>
      </c>
      <c r="C336" s="4" t="inlineStr">
        <is>
          <t>Não vendido</t>
        </is>
      </c>
      <c r="D336" s="4" t="inlineStr">
        <is>
          <t>29</t>
        </is>
      </c>
      <c r="E336" s="5" t="inlineStr">
        <is>
          <t>12.000,00</t>
        </is>
      </c>
      <c r="F336" s="4" t="inlineStr">
        <is>
          <t>250.00</t>
        </is>
      </c>
    </row>
    <row collapsed="false" customFormat="false" customHeight="false" hidden="false" ht="12.1" outlineLevel="0" r="337">
      <c r="A337" s="5" t="s">
        <f>=HYPERLINK("https://leilaoonline.com.br/lote/detalhe/57002", "718")</f>
      </c>
      <c r="B337" s="4" t="s">
        <f>=HYPERLINK("https://leilaoonline.com.br/lote/detalhe/57002", "082-076-2020 - APROX. 157 ITENS - Peças acessórios equipamentos carregamento elevação E OUTROS - VEJA DESCRITIVO DE ITENS")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1.100,00</t>
        </is>
      </c>
      <c r="F337" s="4" t="inlineStr">
        <is>
          <t>150.00</t>
        </is>
      </c>
    </row>
    <row collapsed="false" customFormat="false" customHeight="false" hidden="false" ht="12.1" outlineLevel="0" r="338">
      <c r="A338" s="5" t="s">
        <f>=HYPERLINK("https://leilaoonline.com.br/lote/detalhe/57003", "719")</f>
      </c>
      <c r="B338" s="4" t="s">
        <f>=HYPERLINK("https://leilaoonline.com.br/lote/detalhe/57003", "082-077-2020 - APROX. 182 ITENS - Peças, insumos e acessórios de componentes eletrônicos E OUTROS - VEJA DESCRITIVO DE ITENS")</f>
      </c>
      <c r="C338" s="4" t="inlineStr">
        <is>
          <t>Não vendido</t>
        </is>
      </c>
      <c r="D338" s="4" t="inlineStr">
        <is>
          <t>19</t>
        </is>
      </c>
      <c r="E338" s="5" t="inlineStr">
        <is>
          <t>3.200,00</t>
        </is>
      </c>
      <c r="F338" s="4" t="inlineStr">
        <is>
          <t>150.00</t>
        </is>
      </c>
    </row>
    <row collapsed="false" customFormat="false" customHeight="false" hidden="false" ht="12.1" outlineLevel="0" r="339">
      <c r="A339" s="5" t="s">
        <f>=HYPERLINK("https://leilaoonline.com.br/lote/detalhe/57004", "720")</f>
      </c>
      <c r="B339" s="4" t="s">
        <f>=HYPERLINK("https://leilaoonline.com.br/lote/detalhe/57004", "082-078-2020 - APROX. 158 ITENS - Peças e acessórios de veículo pesado  E OUTROS - VEJA DESCRITIVO DE ITENS")</f>
      </c>
      <c r="C339" s="4" t="inlineStr">
        <is>
          <t>Não vendido</t>
        </is>
      </c>
      <c r="D339" s="4" t="inlineStr">
        <is>
          <t>14</t>
        </is>
      </c>
      <c r="E339" s="5" t="inlineStr">
        <is>
          <t>2.450,00</t>
        </is>
      </c>
      <c r="F339" s="4" t="inlineStr">
        <is>
          <t>150.00</t>
        </is>
      </c>
    </row>
    <row collapsed="false" customFormat="false" customHeight="false" hidden="false" ht="12.1" outlineLevel="0" r="340">
      <c r="A340" s="5" t="s">
        <f>=HYPERLINK("https://leilaoonline.com.br/lote/detalhe/57005", "721")</f>
      </c>
      <c r="B340" s="4" t="s">
        <f>=HYPERLINK("https://leilaoonline.com.br/lote/detalhe/57005", "082-079-2020 - APROX. 2.516 ITENS - Peças e acessórios de vagão E OUTROS - VEJA DESCRITIVO DE ITENS")</f>
      </c>
      <c r="C340" s="4" t="inlineStr">
        <is>
          <t>Vendido</t>
        </is>
      </c>
      <c r="D340" s="4" t="inlineStr">
        <is>
          <t>20</t>
        </is>
      </c>
      <c r="E340" s="5" t="inlineStr">
        <is>
          <t>3.350,00</t>
        </is>
      </c>
      <c r="F340" s="4" t="inlineStr">
        <is>
          <t>150.00</t>
        </is>
      </c>
    </row>
    <row collapsed="false" customFormat="false" customHeight="false" hidden="false" ht="12.1" outlineLevel="0" r="341">
      <c r="A341" s="5" t="s">
        <f>=HYPERLINK("https://leilaoonline.com.br/lote/detalhe/57006", "722")</f>
      </c>
      <c r="B341" s="4" t="s">
        <f>=HYPERLINK("https://leilaoonline.com.br/lote/detalhe/57006", "082-080-2020 - APROX. 329 ITENS - Fios, cabos e conexões elétricas  E OUTROS - VEJA DESCRITIVO DE ITENS")</f>
      </c>
      <c r="C341" s="4" t="inlineStr">
        <is>
          <t>Vendido</t>
        </is>
      </c>
      <c r="D341" s="4" t="inlineStr">
        <is>
          <t>46</t>
        </is>
      </c>
      <c r="E341" s="5" t="inlineStr">
        <is>
          <t>7.250,00</t>
        </is>
      </c>
      <c r="F341" s="4" t="inlineStr">
        <is>
          <t>150.00</t>
        </is>
      </c>
    </row>
    <row collapsed="false" customFormat="false" customHeight="false" hidden="false" ht="12.1" outlineLevel="0" r="342">
      <c r="A342" s="5" t="s">
        <f>=HYPERLINK("https://leilaoonline.com.br/lote/detalhe/57007", "723")</f>
      </c>
      <c r="B342" s="4" t="s">
        <f>=HYPERLINK("https://leilaoonline.com.br/lote/detalhe/57007", "082-085-2020 - APROX. 73 ITENS - Peças e insumos e acessórios de componentes eletrônicos E OUTROS - VEJA DESCRITIVO DE ITENS")</f>
      </c>
      <c r="C342" s="4" t="inlineStr">
        <is>
          <t>Não vendido</t>
        </is>
      </c>
      <c r="D342" s="4" t="inlineStr">
        <is>
          <t>26</t>
        </is>
      </c>
      <c r="E342" s="5" t="inlineStr">
        <is>
          <t>6.750,00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=HYPERLINK("https://leilaoonline.com.br/lote/detalhe/57008", "724")</f>
      </c>
      <c r="B343" s="4" t="s">
        <f>=HYPERLINK("https://leilaoonline.com.br/lote/detalhe/57008", "082-086-2020 - APROX. 103 ITENS - Equipamento e peças e acessórios de resfriamento E OUTROS - VEJA DESCRITIVO DE ITENS")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2.900,00</t>
        </is>
      </c>
      <c r="F343" s="4" t="inlineStr">
        <is>
          <t>150.00</t>
        </is>
      </c>
    </row>
    <row collapsed="false" customFormat="false" customHeight="false" hidden="false" ht="12.1" outlineLevel="0" r="344">
      <c r="A344" s="5" t="s">
        <f>=HYPERLINK("https://leilaoonline.com.br/lote/detalhe/57009", "725")</f>
      </c>
      <c r="B344" s="4" t="s">
        <f>=HYPERLINK("https://leilaoonline.com.br/lote/detalhe/57009", "ACA-007-2020 - APROX. ITENS - Fixadores diversos E OUTROS - VEJA DESCRITIVO DE ITENS")</f>
      </c>
      <c r="C344" s="4" t="inlineStr">
        <is>
          <t>Não vendido</t>
        </is>
      </c>
      <c r="D344" s="4" t="inlineStr">
        <is>
          <t>5</t>
        </is>
      </c>
      <c r="E344" s="5" t="inlineStr">
        <is>
          <t>1.100,00</t>
        </is>
      </c>
      <c r="F344" s="4" t="inlineStr">
        <is>
          <t>150.00</t>
        </is>
      </c>
    </row>
    <row collapsed="false" customFormat="false" customHeight="false" hidden="false" ht="12.1" outlineLevel="0" r="345">
      <c r="A345" s="5" t="s">
        <f>=HYPERLINK("https://leilaoonline.com.br/lote/detalhe/56998", "726")</f>
      </c>
      <c r="B345" s="4" t="s">
        <f>=HYPERLINK("https://leilaoonline.com.br/lote/detalhe/56998", "ITA-028-2020 - 20 ITENS - TELEFONE SEM e com FIO E MONITORES - veja descritivo de itens  - LOC. ITABIRA/MG")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200,00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=HYPERLINK("https://leilaoonline.com.br/lote/detalhe/57010", "727")</f>
      </c>
      <c r="B346" s="4" t="s">
        <f>=HYPERLINK("https://leilaoonline.com.br/lote/detalhe/57010", "ACD-008-2020 - Lavadora de piso conduzida Gansow CT40 ANO: 2010")</f>
      </c>
      <c r="C346" s="4" t="inlineStr">
        <is>
          <t>Não vendido</t>
        </is>
      </c>
      <c r="D346" s="4" t="inlineStr">
        <is>
          <t>1</t>
        </is>
      </c>
      <c r="E346" s="5" t="inlineStr">
        <is>
          <t>1.000,00</t>
        </is>
      </c>
      <c r="F346" s="4" t="inlineStr">
        <is>
          <t>150.00</t>
        </is>
      </c>
    </row>
    <row collapsed="false" customFormat="false" customHeight="false" hidden="false" ht="12.1" outlineLevel="0" r="347">
      <c r="A347" s="5" t="s">
        <f>=HYPERLINK("https://leilaoonline.com.br/lote/detalhe/57011", "728")</f>
      </c>
      <c r="B347" s="4" t="s">
        <f>=HYPERLINK("https://leilaoonline.com.br/lote/detalhe/57011", "ACD-009-2020 - Lavadora de piso conduzida Gansow CT40 ANO: 2010")</f>
      </c>
      <c r="C347" s="4" t="inlineStr">
        <is>
          <t>Não vendido</t>
        </is>
      </c>
      <c r="D347" s="4" t="inlineStr">
        <is>
          <t>1</t>
        </is>
      </c>
      <c r="E347" s="5" t="inlineStr">
        <is>
          <t>1.000,00</t>
        </is>
      </c>
      <c r="F347" s="4" t="inlineStr">
        <is>
          <t>150.00</t>
        </is>
      </c>
    </row>
    <row collapsed="false" customFormat="false" customHeight="false" hidden="false" ht="12.1" outlineLevel="0" r="348">
      <c r="A348" s="5" t="s">
        <f>=HYPERLINK("https://leilaoonline.com.br/lote/detalhe/57012", "730")</f>
      </c>
      <c r="B348" s="4" t="s">
        <f>=HYPERLINK("https://leilaoonline.com.br/lote/detalhe/57012", "CD-140-2020 - Peças e acessorios peneira, Peças de Reposição E OUTROS - VEJA DESCRITIVO DE ITENS")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500,00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=HYPERLINK("https://leilaoonline.com.br/lote/detalhe/56997", "731")</f>
      </c>
      <c r="B349" s="4" t="s">
        <f>=HYPERLINK("https://leilaoonline.com.br/lote/detalhe/56997", "ITA-020-2020 28 ITENS - Chapas, Duto de cabeamento e Outros - veja descritivo de itens - LOC. ITABIRA/MG")</f>
      </c>
      <c r="C349" s="4" t="inlineStr">
        <is>
          <t>Não vendido</t>
        </is>
      </c>
      <c r="D349" s="4" t="inlineStr">
        <is>
          <t>11</t>
        </is>
      </c>
      <c r="E349" s="5" t="inlineStr">
        <is>
          <t>1.300,00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=HYPERLINK("https://leilaoonline.com.br/lote/detalhe/56913", "732")</f>
      </c>
      <c r="B350" s="4" t="s">
        <f>=HYPERLINK("https://leilaoonline.com.br/lote/detalhe/56913", "MUT-055-2020 -  38 itens - Peças e acessórios de bombas E OUTROS - VEJA DESCRITIVO DE ITENS")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500,00</t>
        </is>
      </c>
      <c r="F350" s="4" t="inlineStr">
        <is>
          <t>150.00</t>
        </is>
      </c>
    </row>
    <row collapsed="false" customFormat="false" customHeight="false" hidden="false" ht="12.1" outlineLevel="0" r="351">
      <c r="A351" s="5" t="s">
        <f>=HYPERLINK("https://leilaoonline.com.br/lote/detalhe/57013", "733")</f>
      </c>
      <c r="B351" s="4" t="s">
        <f>=HYPERLINK("https://leilaoonline.com.br/lote/detalhe/57013", "CD-143-2020 - APROX. 194 ITENS - peças acessorios bomba, polias de transmissão E OUTROS - VEJA DESCRITIVO DE ITENS")</f>
      </c>
      <c r="C351" s="4" t="inlineStr">
        <is>
          <t>Não vendido</t>
        </is>
      </c>
      <c r="D351" s="4" t="inlineStr">
        <is>
          <t>3</t>
        </is>
      </c>
      <c r="E351" s="5" t="inlineStr">
        <is>
          <t>800,00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=HYPERLINK("https://leilaoonline.com.br/lote/detalhe/57092", "734")</f>
      </c>
      <c r="B352" s="4" t="s">
        <f>=HYPERLINK("https://leilaoonline.com.br/lote/detalhe/57092", "MUT-054-2020 - 26 ITENS - Peças e acessórios de veículo pesado E OUTROS - VEJA DESCRITIVO DE ITENS")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150.00</t>
        </is>
      </c>
    </row>
    <row collapsed="false" customFormat="false" customHeight="false" hidden="false" ht="12.1" outlineLevel="0" r="353">
      <c r="A353" s="5" t="s">
        <f>=HYPERLINK("https://leilaoonline.com.br/lote/detalhe/57014", "735")</f>
      </c>
      <c r="B353" s="4" t="s">
        <f>=HYPERLINK("https://leilaoonline.com.br/lote/detalhe/57014", "CKS-MRO-011-2020 - APROX. 9.507 ITENS - Segurança e proteção pessoal, Peças e acessórios de flanges E OUTROS - VEJA DESCRITIVO DE ITENS")</f>
      </c>
      <c r="C353" s="4" t="inlineStr">
        <is>
          <t>Vendido</t>
        </is>
      </c>
      <c r="D353" s="4" t="inlineStr">
        <is>
          <t>33</t>
        </is>
      </c>
      <c r="E353" s="5" t="inlineStr">
        <is>
          <t>9.000,00</t>
        </is>
      </c>
      <c r="F353" s="4" t="inlineStr">
        <is>
          <t>150.00</t>
        </is>
      </c>
    </row>
    <row collapsed="false" customFormat="false" customHeight="false" hidden="false" ht="12.1" outlineLevel="0" r="354">
      <c r="A354" s="5" t="s">
        <f>=HYPERLINK("https://leilaoonline.com.br/lote/detalhe/57091", "736")</f>
      </c>
      <c r="B354" s="4" t="s">
        <f>=HYPERLINK("https://leilaoonline.com.br/lote/detalhe/57091", "MUT-053-2020 - 40 ITENS - JUNTAS E VEDAÇÕES E OUTROS - VEJA DESCRITIVO DE ITENS")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500,00</t>
        </is>
      </c>
      <c r="F354" s="4" t="inlineStr">
        <is>
          <t>150.00</t>
        </is>
      </c>
    </row>
    <row collapsed="false" customFormat="false" customHeight="false" hidden="false" ht="12.1" outlineLevel="0" r="355">
      <c r="A355" s="5" t="s">
        <f>=HYPERLINK("https://leilaoonline.com.br/lote/detalhe/57084", "737")</f>
      </c>
      <c r="B355" s="4" t="s">
        <f>=HYPERLINK("https://leilaoonline.com.br/lote/detalhe/57084", "MUT-052-2020 - APROX. 161 ITENS - Unidades de engrenagem E OUTROS - VEJA DESCRITIVO DE ITENS")</f>
      </c>
      <c r="C355" s="4" t="inlineStr">
        <is>
          <t>Vendido</t>
        </is>
      </c>
      <c r="D355" s="4" t="inlineStr">
        <is>
          <t>1</t>
        </is>
      </c>
      <c r="E355" s="5" t="inlineStr">
        <is>
          <t>500,00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=HYPERLINK("https://leilaoonline.com.br/lote/detalhe/57015", "738")</f>
      </c>
      <c r="B356" s="4" t="s">
        <f>=HYPERLINK("https://leilaoonline.com.br/lote/detalhe/57015", "CKS-MRO-016-2020 - APROX. 1.453 ITENS - Transmissores de força mecânica, Unidades de engrenagem E OUTROS - VEJA DESCRITIVO DE ITENS")</f>
      </c>
      <c r="C356" s="4" t="inlineStr">
        <is>
          <t>Vendido</t>
        </is>
      </c>
      <c r="D356" s="4" t="inlineStr">
        <is>
          <t>31</t>
        </is>
      </c>
      <c r="E356" s="5" t="inlineStr">
        <is>
          <t>5.000,00</t>
        </is>
      </c>
      <c r="F356" s="4" t="inlineStr">
        <is>
          <t>150.00</t>
        </is>
      </c>
    </row>
    <row collapsed="false" customFormat="false" customHeight="false" hidden="false" ht="12.1" outlineLevel="0" r="357">
      <c r="A357" s="5" t="s">
        <f>=HYPERLINK("https://leilaoonline.com.br/lote/detalhe/57016", "739")</f>
      </c>
      <c r="B357" s="4" t="s">
        <f>=HYPERLINK("https://leilaoonline.com.br/lote/detalhe/57016", "CKS-MRO-017-2020 - APROX. 2.681 ITENS - Equipamentos e instrumentos relacionados com transporte E OUTROS - VEJA DESCRITIVO DE ITENS")</f>
      </c>
      <c r="C357" s="4" t="inlineStr">
        <is>
          <t>Vendido</t>
        </is>
      </c>
      <c r="D357" s="4" t="inlineStr">
        <is>
          <t>20</t>
        </is>
      </c>
      <c r="E357" s="5" t="inlineStr">
        <is>
          <t>3.350,00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=HYPERLINK("https://leilaoonline.com.br/lote/detalhe/57017", "740")</f>
      </c>
      <c r="B358" s="4" t="s">
        <f>=HYPERLINK("https://leilaoonline.com.br/lote/detalhe/57017", "CKS-MRO-018-2020 - APROX. 463 ITENS - Transmissores de força mecânica, Unidades de engrenagem E OUTROS - VEJA DESCRITIVO DE ITENS")</f>
      </c>
      <c r="C358" s="4" t="inlineStr">
        <is>
          <t>Não vendido</t>
        </is>
      </c>
      <c r="D358" s="4" t="inlineStr">
        <is>
          <t>6</t>
        </is>
      </c>
      <c r="E358" s="5" t="inlineStr">
        <is>
          <t>1.250,00</t>
        </is>
      </c>
      <c r="F358" s="4" t="inlineStr">
        <is>
          <t>150.00</t>
        </is>
      </c>
    </row>
    <row collapsed="false" customFormat="false" customHeight="false" hidden="false" ht="12.1" outlineLevel="0" r="359">
      <c r="A359" s="5" t="s">
        <f>=HYPERLINK("https://leilaoonline.com.br/lote/detalhe/57018", "742")</f>
      </c>
      <c r="B359" s="4" t="s">
        <f>=HYPERLINK("https://leilaoonline.com.br/lote/detalhe/57018", "CKS-MRO-020-2020 - APROX. 1.334 ITENS - Rolos de Carga - VEJA DESCRITIVO DE ITENS")</f>
      </c>
      <c r="C359" s="4" t="inlineStr">
        <is>
          <t>Não vendido</t>
        </is>
      </c>
      <c r="D359" s="4" t="inlineStr">
        <is>
          <t>41</t>
        </is>
      </c>
      <c r="E359" s="5" t="inlineStr">
        <is>
          <t>10.500,00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=HYPERLINK("https://leilaoonline.com.br/lote/detalhe/57019", "743")</f>
      </c>
      <c r="B360" s="4" t="s">
        <f>=HYPERLINK("https://leilaoonline.com.br/lote/detalhe/57019", "CKS-MRO-021-2020 - APROX. 553 ITENS - Peças e acessórios de veículo pesado E OUTROS - VEJA DESCRITIVO DE ITENS")</f>
      </c>
      <c r="C360" s="4" t="inlineStr">
        <is>
          <t>Não vendido</t>
        </is>
      </c>
      <c r="D360" s="4" t="inlineStr">
        <is>
          <t>2</t>
        </is>
      </c>
      <c r="E360" s="5" t="inlineStr">
        <is>
          <t>650,00</t>
        </is>
      </c>
      <c r="F360" s="4" t="inlineStr">
        <is>
          <t>150.00</t>
        </is>
      </c>
    </row>
    <row collapsed="false" customFormat="false" customHeight="false" hidden="false" ht="12.1" outlineLevel="0" r="361">
      <c r="A361" s="5" t="s">
        <f>=HYPERLINK("https://leilaoonline.com.br/lote/detalhe/57020", "745")</f>
      </c>
      <c r="B361" s="4" t="s">
        <f>=HYPERLINK("https://leilaoonline.com.br/lote/detalhe/57020", "CPBS-004-2020 - 45 ITENS - Peças e acessórios de transportador de correia, Fixadores diversos E OUTROS - VEJA DESCRITIVO DE ITENS")</f>
      </c>
      <c r="C361" s="4" t="inlineStr">
        <is>
          <t>Não vendido</t>
        </is>
      </c>
      <c r="D361" s="4" t="inlineStr">
        <is>
          <t>7</t>
        </is>
      </c>
      <c r="E361" s="5" t="inlineStr">
        <is>
          <t>1.400,00</t>
        </is>
      </c>
      <c r="F361" s="4" t="inlineStr">
        <is>
          <t>150.00</t>
        </is>
      </c>
    </row>
    <row collapsed="false" customFormat="false" customHeight="false" hidden="false" ht="12.1" outlineLevel="0" r="362">
      <c r="A362" s="5" t="s">
        <f>=HYPERLINK("https://leilaoonline.com.br/lote/detalhe/57021", "746")</f>
      </c>
      <c r="B362" s="4" t="s">
        <f>=HYPERLINK("https://leilaoonline.com.br/lote/detalhe/57021", "CPBS-005-2020 - APROX. 445 ITENS - Peças e acessórios de transportador de correia E OUTROS - VEJA DESCRITIVO DE ITENS")</f>
      </c>
      <c r="C362" s="4" t="inlineStr">
        <is>
          <t>Vendido</t>
        </is>
      </c>
      <c r="D362" s="4" t="inlineStr">
        <is>
          <t>17</t>
        </is>
      </c>
      <c r="E362" s="5" t="inlineStr">
        <is>
          <t>2.900,00</t>
        </is>
      </c>
      <c r="F362" s="4" t="inlineStr">
        <is>
          <t>150.00</t>
        </is>
      </c>
    </row>
    <row collapsed="false" customFormat="false" customHeight="false" hidden="false" ht="12.1" outlineLevel="0" r="363">
      <c r="A363" s="5" t="s">
        <f>=HYPERLINK("https://leilaoonline.com.br/lote/detalhe/57022", "747")</f>
      </c>
      <c r="B363" s="4" t="s">
        <f>=HYPERLINK("https://leilaoonline.com.br/lote/detalhe/57022", "CPBS-006-2020 - 3 ITENS Material elétrico - VEJA DESCRITIVO DE ITENS")</f>
      </c>
      <c r="C363" s="4" t="inlineStr">
        <is>
          <t>Vendido</t>
        </is>
      </c>
      <c r="D363" s="4" t="inlineStr">
        <is>
          <t>1</t>
        </is>
      </c>
      <c r="E363" s="5" t="inlineStr">
        <is>
          <t>500,00</t>
        </is>
      </c>
      <c r="F363" s="4" t="inlineStr">
        <is>
          <t>150.00</t>
        </is>
      </c>
    </row>
    <row collapsed="false" customFormat="false" customHeight="false" hidden="false" ht="12.1" outlineLevel="0" r="364">
      <c r="A364" s="5" t="s">
        <f>=HYPERLINK("https://leilaoonline.com.br/lote/detalhe/57023", "748")</f>
      </c>
      <c r="B364" s="4" t="s">
        <f>=HYPERLINK("https://leilaoonline.com.br/lote/detalhe/57023", "CPBS-008-2020 - APROX. 106 ITENS - Peças e acessórios de transportador de correia E OUTROS - VEJA DESCRITIVO DE ITENS")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150.00</t>
        </is>
      </c>
    </row>
    <row collapsed="false" customFormat="false" customHeight="false" hidden="false" ht="12.1" outlineLevel="0" r="365">
      <c r="A365" s="5" t="s">
        <f>=HYPERLINK("https://leilaoonline.com.br/lote/detalhe/56996", "749")</f>
      </c>
      <c r="B365" s="4" t="s">
        <f>=HYPERLINK("https://leilaoonline.com.br/lote/detalhe/56996", "ITA-016-2020 - APROX. 257 ITENS Peças:de veículo pesado, Fixadores diversos e Outros - veja descritivo de itens - LOC. ITABIRA/MG")</f>
      </c>
      <c r="C365" s="4" t="inlineStr">
        <is>
          <t>Vendido</t>
        </is>
      </c>
      <c r="D365" s="4" t="inlineStr">
        <is>
          <t>9</t>
        </is>
      </c>
      <c r="E365" s="5" t="inlineStr">
        <is>
          <t>1.300,00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=HYPERLINK("https://leilaoonline.com.br/lote/detalhe/57024", "751")</f>
      </c>
      <c r="B366" s="4" t="s">
        <f>=HYPERLINK("https://leilaoonline.com.br/lote/detalhe/57024", "FAB-047-2020 - APROX. 3.684 ITENS - POLIA COMPONENTE E OUTROS - VEJA DESCRITIVO DE ITENS")</f>
      </c>
      <c r="C366" s="4" t="inlineStr">
        <is>
          <t>Vendido</t>
        </is>
      </c>
      <c r="D366" s="4" t="inlineStr">
        <is>
          <t>12</t>
        </is>
      </c>
      <c r="E366" s="5" t="inlineStr">
        <is>
          <t>2.150,00</t>
        </is>
      </c>
      <c r="F366" s="4" t="inlineStr">
        <is>
          <t>150.00</t>
        </is>
      </c>
    </row>
    <row collapsed="false" customFormat="false" customHeight="false" hidden="false" ht="12.1" outlineLevel="0" r="367">
      <c r="A367" s="5" t="s">
        <f>=HYPERLINK("https://leilaoonline.com.br/lote/detalhe/57025", "753")</f>
      </c>
      <c r="B367" s="4" t="s">
        <f>=HYPERLINK("https://leilaoonline.com.br/lote/detalhe/57025", "FAB-049-2020 - 9 ITENS - ROTOR COMPONENTE E OUTROS - VEJA DESCRITIVO DE ITENS")</f>
      </c>
      <c r="C367" s="4" t="inlineStr">
        <is>
          <t>Vendido</t>
        </is>
      </c>
      <c r="D367" s="4" t="inlineStr">
        <is>
          <t>2</t>
        </is>
      </c>
      <c r="E367" s="5" t="inlineStr">
        <is>
          <t>650,00</t>
        </is>
      </c>
      <c r="F367" s="4" t="inlineStr">
        <is>
          <t>150.00</t>
        </is>
      </c>
    </row>
    <row collapsed="false" customFormat="false" customHeight="false" hidden="false" ht="12.1" outlineLevel="0" r="368">
      <c r="A368" s="5" t="s">
        <f>=HYPERLINK("https://leilaoonline.com.br/lote/detalhe/57026", "755")</f>
      </c>
      <c r="B368" s="4" t="s">
        <f>=HYPERLINK("https://leilaoonline.com.br/lote/detalhe/57026", "FAB-051-2020 - 14 ITENS - POLIA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150.00</t>
        </is>
      </c>
    </row>
    <row collapsed="false" customFormat="false" customHeight="false" hidden="false" ht="12.1" outlineLevel="0" r="369">
      <c r="A369" s="5" t="s">
        <f>=HYPERLINK("https://leilaoonline.com.br/lote/detalhe/56909", "758")</f>
      </c>
      <c r="B369" s="4" t="s">
        <f>=HYPERLINK("https://leilaoonline.com.br/lote/detalhe/56909", "FAB-54-2020 - APROX. 853 ITENS - Material elétrico, Fixadores diversos E OUTROS - VEJA DESCRITIVO DE ITENS")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150.00</t>
        </is>
      </c>
    </row>
    <row collapsed="false" customFormat="false" customHeight="false" hidden="false" ht="12.1" outlineLevel="0" r="370">
      <c r="A370" s="5" t="s">
        <f>=HYPERLINK("https://leilaoonline.com.br/lote/detalhe/57027", "759")</f>
      </c>
      <c r="B370" s="4" t="s">
        <f>=HYPERLINK("https://leilaoonline.com.br/lote/detalhe/57027", "FAB-55-2020 - APROX. 617 ITENS -Máquinas para escritório e seus suprimentos e acessórios E OUTROS - VEJA DESCRITIVO DE ITENS")</f>
      </c>
      <c r="C370" s="4" t="inlineStr">
        <is>
          <t>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150.00</t>
        </is>
      </c>
    </row>
    <row collapsed="false" customFormat="false" customHeight="false" hidden="false" ht="12.1" outlineLevel="0" r="371">
      <c r="A371" s="5" t="s">
        <f>=HYPERLINK("https://leilaoonline.com.br/lote/detalhe/57029", "761")</f>
      </c>
      <c r="B371" s="4" t="s">
        <f>=HYPERLINK("https://leilaoonline.com.br/lote/detalhe/57029", "FAB-57-2020 - APROX. 991 ITENS - Transmissores de força mecânica, Tubos e tubulações E OUTROS - VEJA DESCRITIVO DE ITENS")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150.00</t>
        </is>
      </c>
    </row>
    <row collapsed="false" customFormat="false" customHeight="false" hidden="false" ht="12.1" outlineLevel="0" r="372">
      <c r="A372" s="5" t="s">
        <f>=HYPERLINK("https://leilaoonline.com.br/lote/detalhe/57031", "763")</f>
      </c>
      <c r="B372" s="4" t="s">
        <f>=HYPERLINK("https://leilaoonline.com.br/lote/detalhe/57031", "FAB-59-2020 - APROX. 1787 ITENS - Material elétrico, Juntas e vedações E OUTROS - VEJA DESCRITIVO DE ITENS")</f>
      </c>
      <c r="C372" s="4" t="inlineStr">
        <is>
          <t>Vendido</t>
        </is>
      </c>
      <c r="D372" s="4" t="inlineStr">
        <is>
          <t>1</t>
        </is>
      </c>
      <c r="E372" s="5" t="inlineStr">
        <is>
          <t>500,00</t>
        </is>
      </c>
      <c r="F372" s="4" t="inlineStr">
        <is>
          <t>150.00</t>
        </is>
      </c>
    </row>
    <row collapsed="false" customFormat="false" customHeight="false" hidden="false" ht="12.1" outlineLevel="0" r="373">
      <c r="A373" s="5" t="s">
        <f>=HYPERLINK("https://leilaoonline.com.br/lote/detalhe/57078", "764")</f>
      </c>
      <c r="B373" s="4" t="s">
        <f>=HYPERLINK("https://leilaoonline.com.br/lote/detalhe/57078", "CPBS-007-2020 - APROX. 1.249 ITENS - Equipamentos e acessórios de medição e teste elétrico E OUTROS - VEJA DESCRITIVO DE ITENS")</f>
      </c>
      <c r="C373" s="4" t="inlineStr">
        <is>
          <t>Vendido</t>
        </is>
      </c>
      <c r="D373" s="4" t="inlineStr">
        <is>
          <t>29</t>
        </is>
      </c>
      <c r="E373" s="5" t="inlineStr">
        <is>
          <t>4.700,00</t>
        </is>
      </c>
      <c r="F373" s="4" t="inlineStr">
        <is>
          <t>150.00</t>
        </is>
      </c>
    </row>
    <row collapsed="false" customFormat="false" customHeight="false" hidden="false" ht="12.1" outlineLevel="0" r="374">
      <c r="A374" s="5" t="s">
        <f>=HYPERLINK("https://leilaoonline.com.br/lote/detalhe/57079", "765")</f>
      </c>
      <c r="B374" s="4" t="s">
        <f>=HYPERLINK("https://leilaoonline.com.br/lote/detalhe/57079", "MUT-047-2020 - APROX. 536 ITENS - Peças e acessórios de filtros E OUTROS - VEJA DESCRITIVO DE ITENS")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150.00</t>
        </is>
      </c>
    </row>
    <row collapsed="false" customFormat="false" customHeight="false" hidden="false" ht="12.1" outlineLevel="0" r="375">
      <c r="A375" s="5" t="s">
        <f>=HYPERLINK("https://leilaoonline.com.br/lote/detalhe/57642", "766")</f>
      </c>
      <c r="B375" s="4" t="s">
        <f>=HYPERLINK("https://leilaoonline.com.br/lote/detalhe/57642", "FAB-62-2020 - APROX. 406 ITENS - Polias de transmissão, Fixadores diversos E OUTROS - VEJA DESCRITIVO DE ITENS")</f>
      </c>
      <c r="C375" s="4" t="inlineStr">
        <is>
          <t>Vendido</t>
        </is>
      </c>
      <c r="D375" s="4" t="inlineStr">
        <is>
          <t>1</t>
        </is>
      </c>
      <c r="E375" s="5" t="inlineStr">
        <is>
          <t>500,00</t>
        </is>
      </c>
      <c r="F375" s="4" t="inlineStr">
        <is>
          <t>150.00</t>
        </is>
      </c>
    </row>
    <row collapsed="false" customFormat="false" customHeight="false" hidden="false" ht="12.1" outlineLevel="0" r="376">
      <c r="A376" s="5" t="s">
        <f>=HYPERLINK("https://leilaoonline.com.br/lote/detalhe/57039", "775")</f>
      </c>
      <c r="B376" s="4" t="s">
        <f>=HYPERLINK("https://leilaoonline.com.br/lote/detalhe/57039", "GOV-067-2020 - APROX. 1.980 ITENS - Peças e acessórios de equipamento de suporte ferroviário E OUTROS - VEJA DESCRITIVO DE ITENS")</f>
      </c>
      <c r="C376" s="4" t="inlineStr">
        <is>
          <t>Vendido</t>
        </is>
      </c>
      <c r="D376" s="4" t="inlineStr">
        <is>
          <t>2</t>
        </is>
      </c>
      <c r="E376" s="5" t="inlineStr">
        <is>
          <t>600,00</t>
        </is>
      </c>
      <c r="F376" s="4" t="inlineStr">
        <is>
          <t>150.00</t>
        </is>
      </c>
    </row>
    <row collapsed="false" customFormat="false" customHeight="false" hidden="false" ht="12.1" outlineLevel="0" r="377">
      <c r="A377" s="5" t="s">
        <f>=HYPERLINK("https://leilaoonline.com.br/lote/detalhe/57040", "777")</f>
      </c>
      <c r="B377" s="4" t="s">
        <f>=HYPERLINK("https://leilaoonline.com.br/lote/detalhe/57040", "GOV-072-2020 - APROX. 5.548 ITENS - Peças acessórios equipamentos carregamento elevação E OUTROS - VEJA DESCRITIVO DE ITENS")</f>
      </c>
      <c r="C377" s="4" t="inlineStr">
        <is>
          <t>Vendido</t>
        </is>
      </c>
      <c r="D377" s="4" t="inlineStr">
        <is>
          <t>6</t>
        </is>
      </c>
      <c r="E377" s="5" t="inlineStr">
        <is>
          <t>1.250,00</t>
        </is>
      </c>
      <c r="F377" s="4" t="inlineStr">
        <is>
          <t>150.00</t>
        </is>
      </c>
    </row>
    <row collapsed="false" customFormat="false" customHeight="false" hidden="false" ht="12.1" outlineLevel="0" r="378">
      <c r="A378" s="5" t="s">
        <f>=HYPERLINK("https://leilaoonline.com.br/lote/detalhe/57045", "779")</f>
      </c>
      <c r="B378" s="4" t="s">
        <f>=HYPERLINK("https://leilaoonline.com.br/lote/detalhe/57045", "ITA-034-2020 - APROX. 320 ITENS - Peças e acessórios de veículo pesado  E OUTROS - VEJA DESCRITIVO DE ITENS")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500,00</t>
        </is>
      </c>
      <c r="F378" s="4" t="inlineStr">
        <is>
          <t>150.00</t>
        </is>
      </c>
    </row>
    <row collapsed="false" customFormat="false" customHeight="false" hidden="false" ht="12.1" outlineLevel="0" r="379">
      <c r="A379" s="5" t="s">
        <f>=HYPERLINK("https://leilaoonline.com.br/lote/detalhe/57047", "780")</f>
      </c>
      <c r="B379" s="4" t="s">
        <f>=HYPERLINK("https://leilaoonline.com.br/lote/detalhe/57047", "MARAB-07-2020 - 396 ITENS - Peças e acessórios de equipamento de suporte ferroviário E OUTROS - VEJA DESCRITIVO DE ITENS")</f>
      </c>
      <c r="C379" s="4" t="inlineStr">
        <is>
          <t>Não vendido</t>
        </is>
      </c>
      <c r="D379" s="4" t="inlineStr">
        <is>
          <t>3</t>
        </is>
      </c>
      <c r="E379" s="5" t="inlineStr">
        <is>
          <t>800,00</t>
        </is>
      </c>
      <c r="F379" s="4" t="inlineStr">
        <is>
          <t>150.00</t>
        </is>
      </c>
    </row>
    <row collapsed="false" customFormat="false" customHeight="false" hidden="false" ht="12.1" outlineLevel="0" r="380">
      <c r="A380" s="5" t="s">
        <f>=HYPERLINK("https://leilaoonline.com.br/lote/detalhe/57048", "781")</f>
      </c>
      <c r="B380" s="4" t="s">
        <f>=HYPERLINK("https://leilaoonline.com.br/lote/detalhe/57048", "MARAB-010-2020 - 12 ITENS - Peças e Acess. Bombas - VEJA DESCRITIVO DE ITENS")</f>
      </c>
      <c r="C380" s="4" t="inlineStr">
        <is>
          <t>Não vendido</t>
        </is>
      </c>
      <c r="D380" s="4" t="inlineStr">
        <is>
          <t>1</t>
        </is>
      </c>
      <c r="E380" s="5" t="inlineStr">
        <is>
          <t>500,00</t>
        </is>
      </c>
      <c r="F380" s="4" t="inlineStr">
        <is>
          <t>150.00</t>
        </is>
      </c>
    </row>
    <row collapsed="false" customFormat="false" customHeight="false" hidden="false" ht="12.1" outlineLevel="0" r="381">
      <c r="A381" s="5" t="s">
        <f>=HYPERLINK("https://leilaoonline.com.br/lote/detalhe/57050", "782")</f>
      </c>
      <c r="B381" s="4" t="s">
        <f>=HYPERLINK("https://leilaoonline.com.br/lote/detalhe/57050", "MARAB-011-2020 - 437 ITENS - MANUTENCAO DE COMPONENTES ELETRICOS - MODULO ELETRONICO E OUTROS - VEJA DESCRITIVO DE ITENS")</f>
      </c>
      <c r="C381" s="4" t="inlineStr">
        <is>
          <t>Não vendido</t>
        </is>
      </c>
      <c r="D381" s="4" t="inlineStr">
        <is>
          <t>1</t>
        </is>
      </c>
      <c r="E381" s="5" t="inlineStr">
        <is>
          <t>500,00</t>
        </is>
      </c>
      <c r="F381" s="4" t="inlineStr">
        <is>
          <t>150.00</t>
        </is>
      </c>
    </row>
    <row collapsed="false" customFormat="false" customHeight="false" hidden="false" ht="12.1" outlineLevel="0" r="382">
      <c r="A382" s="5" t="s">
        <f>=HYPERLINK("https://leilaoonline.com.br/lote/detalhe/57051", "783")</f>
      </c>
      <c r="B382" s="4" t="s">
        <f>=HYPERLINK("https://leilaoonline.com.br/lote/detalhe/57051", "MARAB-012-2020 - APROX. 321 ITENS - Peças e acessórios de equipamento de suporte ferroviário E OUTROS - VEJA DESCRITIVO DE ITENS")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500,00</t>
        </is>
      </c>
      <c r="F382" s="4" t="inlineStr">
        <is>
          <t>150.00</t>
        </is>
      </c>
    </row>
    <row collapsed="false" customFormat="false" customHeight="false" hidden="false" ht="12.1" outlineLevel="0" r="383">
      <c r="A383" s="5" t="s">
        <f>=HYPERLINK("https://leilaoonline.com.br/lote/detalhe/57053", "784")</f>
      </c>
      <c r="B383" s="4" t="s">
        <f>=HYPERLINK("https://leilaoonline.com.br/lote/detalhe/57053", "MCR-016-2020 - 110 ITENS - Peças de britador - VEJA DESCRITIVO DE ITENS")</f>
      </c>
      <c r="C383" s="4" t="inlineStr">
        <is>
          <t>Vendido</t>
        </is>
      </c>
      <c r="D383" s="4" t="inlineStr">
        <is>
          <t>2</t>
        </is>
      </c>
      <c r="E383" s="5" t="inlineStr">
        <is>
          <t>750,00</t>
        </is>
      </c>
      <c r="F383" s="4" t="inlineStr">
        <is>
          <t>150.00</t>
        </is>
      </c>
    </row>
    <row collapsed="false" customFormat="false" customHeight="false" hidden="false" ht="12.1" outlineLevel="0" r="384">
      <c r="A384" s="5" t="s">
        <f>=HYPERLINK("https://leilaoonline.com.br/lote/detalhe/57054", "785")</f>
      </c>
      <c r="B384" s="4" t="s">
        <f>=HYPERLINK("https://leilaoonline.com.br/lote/detalhe/57054", "MCR-018-2020 - 7 ITENS - Peças e acessórios de veículo pesado E OUTROS - VEJA DESCRITIVO DE ITENS")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500,00</t>
        </is>
      </c>
      <c r="F384" s="4" t="inlineStr">
        <is>
          <t>150.00</t>
        </is>
      </c>
    </row>
    <row collapsed="false" customFormat="false" customHeight="false" hidden="false" ht="12.1" outlineLevel="0" r="385">
      <c r="A385" s="5" t="s">
        <f>=HYPERLINK("https://leilaoonline.com.br/lote/detalhe/57057", "787")</f>
      </c>
      <c r="B385" s="4" t="s">
        <f>=HYPERLINK("https://leilaoonline.com.br/lote/detalhe/57057", "MCR-020-2020 - 6 ITENS DISJUNTOR BAIXA TENSAO E OUTRO - VEJA DESCRITIVO DE ITENS")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500,00</t>
        </is>
      </c>
      <c r="F385" s="4" t="inlineStr">
        <is>
          <t>150.00</t>
        </is>
      </c>
    </row>
    <row collapsed="false" customFormat="false" customHeight="false" hidden="false" ht="12.1" outlineLevel="0" r="386">
      <c r="A386" s="5" t="s">
        <f>=HYPERLINK("https://leilaoonline.com.br/lote/detalhe/57060", "788")</f>
      </c>
      <c r="B386" s="4" t="s">
        <f>=HYPERLINK("https://leilaoonline.com.br/lote/detalhe/57060", "MCR-021-2020 - 111 ITENS MATERIAIS DE DESGASTE - VEJA DESCRITIVO DE ITENS")</f>
      </c>
      <c r="C386" s="4" t="inlineStr">
        <is>
          <t>Vendido</t>
        </is>
      </c>
      <c r="D386" s="4" t="inlineStr">
        <is>
          <t>3</t>
        </is>
      </c>
      <c r="E386" s="5" t="inlineStr">
        <is>
          <t>800,00</t>
        </is>
      </c>
      <c r="F386" s="4" t="inlineStr">
        <is>
          <t>150.00</t>
        </is>
      </c>
    </row>
    <row collapsed="false" customFormat="false" customHeight="false" hidden="false" ht="12.1" outlineLevel="0" r="387">
      <c r="A387" s="5" t="s">
        <f>=HYPERLINK("https://leilaoonline.com.br/lote/detalhe/57061", "789")</f>
      </c>
      <c r="B387" s="4" t="s">
        <f>=HYPERLINK("https://leilaoonline.com.br/lote/detalhe/57061", "MCR-022-2020 -38 ITENS PECAS SOBRESSALENTES PARA BOMBAS - VEJA DESCRITIVO DE ITENS")</f>
      </c>
      <c r="C387" s="4" t="inlineStr">
        <is>
          <t>Vendido</t>
        </is>
      </c>
      <c r="D387" s="4" t="inlineStr">
        <is>
          <t>1</t>
        </is>
      </c>
      <c r="E387" s="5" t="inlineStr">
        <is>
          <t>500,00</t>
        </is>
      </c>
      <c r="F387" s="4" t="inlineStr">
        <is>
          <t>150.00</t>
        </is>
      </c>
    </row>
    <row collapsed="false" customFormat="false" customHeight="false" hidden="false" ht="12.1" outlineLevel="0" r="388">
      <c r="A388" s="5" t="s">
        <f>=HYPERLINK("https://leilaoonline.com.br/lote/detalhe/57063", "790")</f>
      </c>
      <c r="B388" s="4" t="s">
        <f>=HYPERLINK("https://leilaoonline.com.br/lote/detalhe/57063", "MCR-023-2020 - 31 ITENS - CHAPAS, BARRAS E PERFIS E OUTRO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500,00</t>
        </is>
      </c>
      <c r="F388" s="4" t="inlineStr">
        <is>
          <t>150.00</t>
        </is>
      </c>
    </row>
    <row collapsed="false" customFormat="false" customHeight="false" hidden="false" ht="12.1" outlineLevel="0" r="389">
      <c r="A389" s="5" t="s">
        <f>=HYPERLINK("https://leilaoonline.com.br/lote/detalhe/57081", "791")</f>
      </c>
      <c r="B389" s="4" t="s">
        <f>=HYPERLINK("https://leilaoonline.com.br/lote/detalhe/57081", "MUT-050-2020 - APROX. 1.219 - Conexões de Tubo E OUTRO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150.00</t>
        </is>
      </c>
    </row>
    <row collapsed="false" customFormat="false" customHeight="false" hidden="false" ht="12.1" outlineLevel="0" r="390">
      <c r="A390" s="5" t="s">
        <f>=HYPERLINK("https://leilaoonline.com.br/lote/detalhe/57083", "792")</f>
      </c>
      <c r="B390" s="4" t="s">
        <f>=HYPERLINK("https://leilaoonline.com.br/lote/detalhe/57083", "MUT-051-2020 - APROX. 60 ITENS - Peças e insumos e acessórios de componentes eletrônicos E OUTRO - VEJA DESCRITIVO DE ITENS")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500,00</t>
        </is>
      </c>
      <c r="F390" s="4" t="inlineStr">
        <is>
          <t>150.00</t>
        </is>
      </c>
    </row>
    <row collapsed="false" customFormat="false" customHeight="false" hidden="false" ht="12.1" outlineLevel="0" r="391">
      <c r="A391" s="5" t="s">
        <f>=HYPERLINK("https://leilaoonline.com.br/lote/detalhe/57065", "793")</f>
      </c>
      <c r="B391" s="4" t="s">
        <f>=HYPERLINK("https://leilaoonline.com.br/lote/detalhe/57065", "MCR-027-2020 - 315 ITENS TELAS PENEIRAMENTO - VEJA DESCRITIVO DE ITENS")</f>
      </c>
      <c r="C391" s="4" t="inlineStr">
        <is>
          <t>Vendido</t>
        </is>
      </c>
      <c r="D391" s="4" t="inlineStr">
        <is>
          <t>9</t>
        </is>
      </c>
      <c r="E391" s="5" t="inlineStr">
        <is>
          <t>1.700,00</t>
        </is>
      </c>
      <c r="F391" s="4" t="inlineStr">
        <is>
          <t>150.00</t>
        </is>
      </c>
    </row>
    <row collapsed="false" customFormat="false" customHeight="false" hidden="false" ht="12.1" outlineLevel="0" r="392">
      <c r="A392" s="5" t="s">
        <f>=HYPERLINK("https://leilaoonline.com.br/lote/detalhe/57644", "794")</f>
      </c>
      <c r="B392" s="4" t="s">
        <f>=HYPERLINK("https://leilaoonline.com.br/lote/detalhe/57644", "MCR-028-2020 - 134 ITENS TELA PENEIRAMENTO DE POLIURETANO  - VEJA DESCRITIVO DE ITENS")</f>
      </c>
      <c r="C392" s="4" t="inlineStr">
        <is>
          <t>Vendido</t>
        </is>
      </c>
      <c r="D392" s="4" t="inlineStr">
        <is>
          <t>5</t>
        </is>
      </c>
      <c r="E392" s="5" t="inlineStr">
        <is>
          <t>1.100,00</t>
        </is>
      </c>
      <c r="F392" s="4" t="inlineStr">
        <is>
          <t>150.00</t>
        </is>
      </c>
    </row>
    <row collapsed="false" customFormat="false" customHeight="false" hidden="false" ht="12.1" outlineLevel="0" r="393">
      <c r="A393" s="5" t="s">
        <f>=HYPERLINK("https://leilaoonline.com.br/lote/detalhe/57068", "795")</f>
      </c>
      <c r="B393" s="4" t="s">
        <f>=HYPERLINK("https://leilaoonline.com.br/lote/detalhe/57068", "082-095-2020 - APROX. 905 ITENS - Peças e insumos e acessórios de componentes eletrônicos  E OUTROS - VEJA DESCRITIVO DE ITENS")</f>
      </c>
      <c r="C393" s="4" t="inlineStr">
        <is>
          <t>Não vendido</t>
        </is>
      </c>
      <c r="D393" s="4" t="inlineStr">
        <is>
          <t>4</t>
        </is>
      </c>
      <c r="E393" s="5" t="inlineStr">
        <is>
          <t>950,00</t>
        </is>
      </c>
      <c r="F393" s="4" t="inlineStr">
        <is>
          <t>150.00</t>
        </is>
      </c>
    </row>
    <row collapsed="false" customFormat="false" customHeight="false" hidden="false" ht="12.1" outlineLevel="0" r="394">
      <c r="A394" s="5" t="s">
        <f>=HYPERLINK("https://leilaoonline.com.br/lote/detalhe/57070", "796")</f>
      </c>
      <c r="B394" s="4" t="s">
        <f>=HYPERLINK("https://leilaoonline.com.br/lote/detalhe/57070", "082-096-2020 - 1 PEÇA CABO POT ELET 3,6/6KV 70MM2 6")</f>
      </c>
      <c r="C394" s="4" t="inlineStr">
        <is>
          <t>Não vendido</t>
        </is>
      </c>
      <c r="D394" s="4" t="inlineStr">
        <is>
          <t>87</t>
        </is>
      </c>
      <c r="E394" s="5" t="inlineStr">
        <is>
          <t>22.000,00</t>
        </is>
      </c>
      <c r="F394" s="4" t="inlineStr">
        <is>
          <t>250.00</t>
        </is>
      </c>
    </row>
    <row collapsed="false" customFormat="false" customHeight="false" hidden="false" ht="12.1" outlineLevel="0" r="395">
      <c r="A395" s="5" t="s">
        <f>=HYPERLINK("https://leilaoonline.com.br/lote/detalhe/57072", "797")</f>
      </c>
      <c r="B395" s="4" t="s">
        <f>=HYPERLINK("https://leilaoonline.com.br/lote/detalhe/57072", "082-097-2020 - APROX. 706 ITENS - Peças e acessórios de locomotiva E OUTROS - VEJA DESCRITIVO DE ITENS")</f>
      </c>
      <c r="C395" s="4" t="inlineStr">
        <is>
          <t>Não vendido</t>
        </is>
      </c>
      <c r="D395" s="4" t="inlineStr">
        <is>
          <t>4</t>
        </is>
      </c>
      <c r="E395" s="5" t="inlineStr">
        <is>
          <t>950,00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=HYPERLINK("https://leilaoonline.com.br/lote/detalhe/57075", "798")</f>
      </c>
      <c r="B396" s="4" t="s">
        <f>=HYPERLINK("https://leilaoonline.com.br/lote/detalhe/57075", "082-098-2020 - APROX. 9.124 - Peças e acessórios de equipamento de suporte ferroviário E OUTROS - VEJA DESCRITIVO DE ITENS")</f>
      </c>
      <c r="C396" s="4" t="inlineStr">
        <is>
          <t>Vendido</t>
        </is>
      </c>
      <c r="D396" s="4" t="inlineStr">
        <is>
          <t>79</t>
        </is>
      </c>
      <c r="E396" s="5" t="inlineStr">
        <is>
          <t>12.800,00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=HYPERLINK("https://leilaoonline.com.br/lote/detalhe/57076", "799")</f>
      </c>
      <c r="B397" s="4" t="s">
        <f>=HYPERLINK("https://leilaoonline.com.br/lote/detalhe/57076", "ACD-MRO-004-2020 - APROX. 1.794 ITENS - Peças e acessórios de equipamento de suporte ferroviário E OUTROS - VEJA DESCRITIVO DE ITENS")</f>
      </c>
      <c r="C397" s="4" t="inlineStr">
        <is>
          <t>Não vendido</t>
        </is>
      </c>
      <c r="D397" s="4" t="inlineStr">
        <is>
          <t>13</t>
        </is>
      </c>
      <c r="E397" s="5" t="inlineStr">
        <is>
          <t>2.300,00</t>
        </is>
      </c>
      <c r="F397" s="4" t="inlineStr">
        <is>
          <t>150.00</t>
        </is>
      </c>
    </row>
    <row collapsed="false" customFormat="false" customHeight="false" hidden="false" ht="12.1" outlineLevel="0" r="398">
      <c r="A398" s="5" t="s">
        <f>=HYPERLINK("https://leilaoonline.com.br/lote/detalhe/58117", "800")</f>
      </c>
      <c r="B398" s="4" t="s">
        <f>=HYPERLINK("https://leilaoonline.com.br/lote/detalhe/58117", "082-102-2020- 5.266 ITENS, DISCO INTERMEDIÁRIO, PINO COMPONENTE E OUTROS- VEJA DESCRITIVO DE ITENS ")</f>
      </c>
      <c r="C398" s="4" t="inlineStr">
        <is>
          <t>Não vendido</t>
        </is>
      </c>
      <c r="D398" s="4" t="inlineStr">
        <is>
          <t>3</t>
        </is>
      </c>
      <c r="E398" s="5" t="inlineStr">
        <is>
          <t>1.000,00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=HYPERLINK("https://leilaoonline.com.br/lote/detalhe/58119", "802")</f>
      </c>
      <c r="B399" s="4" t="s">
        <f>=HYPERLINK("https://leilaoonline.com.br/lote/detalhe/58119", "082-107-2020- 01 TELEFONE CELULAR IPHONE SE APPLE 128 GB, O IPHONE NÃO POSSUI CARREGADOR. APARELHO FOI AUTOMATICA-TICAMENTE RESETADO E ESTÁ NA FUNÇÃO COMO SE FOSSE UM NOVO APARELHO PARA CONFIGURAR  LOC. VITÓRIA /ES")</f>
      </c>
      <c r="C399" s="4" t="inlineStr">
        <is>
          <t>Não vendido</t>
        </is>
      </c>
      <c r="D399" s="4" t="inlineStr">
        <is>
          <t>3</t>
        </is>
      </c>
      <c r="E399" s="5" t="inlineStr">
        <is>
          <t>700,00</t>
        </is>
      </c>
      <c r="F399" s="4" t="inlineStr">
        <is>
          <t>100.00</t>
        </is>
      </c>
    </row>
    <row collapsed="false" customFormat="false" customHeight="false" hidden="false" ht="12.1" outlineLevel="0" r="400">
      <c r="A400" s="5" t="s">
        <f>=HYPERLINK("https://leilaoonline.com.br/lote/detalhe/58120", "803")</f>
      </c>
      <c r="B400" s="4" t="s">
        <f>=HYPERLINK("https://leilaoonline.com.br/lote/detalhe/58120", "082-108-2020- 155 ITENS, CAIXA DE ROLAMNETOS, POLIA, ROLO TRANS. E OUTROS- VEJA DESCRITIVO DE ITENS ")</f>
      </c>
      <c r="C400" s="4" t="inlineStr">
        <is>
          <t>Vendido</t>
        </is>
      </c>
      <c r="D400" s="4" t="inlineStr">
        <is>
          <t>34</t>
        </is>
      </c>
      <c r="E400" s="5" t="inlineStr">
        <is>
          <t>4.200,00</t>
        </is>
      </c>
      <c r="F400" s="4" t="inlineStr">
        <is>
          <t>100.00</t>
        </is>
      </c>
    </row>
    <row collapsed="false" customFormat="false" customHeight="false" hidden="false" ht="12.1" outlineLevel="0" r="401">
      <c r="A401" s="5" t="s">
        <f>=HYPERLINK("https://leilaoonline.com.br/lote/detalhe/58121", "804")</f>
      </c>
      <c r="B401" s="4" t="s">
        <f>=HYPERLINK("https://leilaoonline.com.br/lote/detalhe/58121", "082-109-2020- 315 ITENS, POLIA CONDUZIDA, CAIXA ROLAMENTO EOUTROS - VEJA DESCRITIVO DE ITENS ")</f>
      </c>
      <c r="C401" s="4" t="inlineStr">
        <is>
          <t>Vendido</t>
        </is>
      </c>
      <c r="D401" s="4" t="inlineStr">
        <is>
          <t>43</t>
        </is>
      </c>
      <c r="E401" s="5" t="inlineStr">
        <is>
          <t>5.200,00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=HYPERLINK("https://leilaoonline.com.br/lote/detalhe/58124", "806")</f>
      </c>
      <c r="B402" s="4" t="s">
        <f>=HYPERLINK("https://leilaoonline.com.br/lote/detalhe/58124", "082-116-2020- 2.050 ITENS, MANGUEIRA MONTADA, ALAVANCA, GRAMPOS E OUTROS- VEJA DESCRITIVO DE ITENS ")</f>
      </c>
      <c r="C402" s="4" t="inlineStr">
        <is>
          <t>Não vendido</t>
        </is>
      </c>
      <c r="D402" s="4" t="inlineStr">
        <is>
          <t>3</t>
        </is>
      </c>
      <c r="E402" s="5" t="inlineStr">
        <is>
          <t>700,00</t>
        </is>
      </c>
      <c r="F402" s="4" t="inlineStr">
        <is>
          <t>100.00</t>
        </is>
      </c>
    </row>
    <row collapsed="false" customFormat="false" customHeight="false" hidden="false" ht="12.1" outlineLevel="0" r="403">
      <c r="A403" s="5" t="s">
        <f>=HYPERLINK("https://leilaoonline.com.br/lote/detalhe/58125", "807")</f>
      </c>
      <c r="B403" s="4" t="s">
        <f>=HYPERLINK("https://leilaoonline.com.br/lote/detalhe/58125", "BRU-084-2019- 04 CADEIRAS DIVERSAS, São Gonçalo do Rio Abaixo/ MG, VEJA DESCRITIVO DE ITENS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500,00</t>
        </is>
      </c>
      <c r="F403" s="4" t="inlineStr">
        <is>
          <t>100.00</t>
        </is>
      </c>
    </row>
    <row collapsed="false" customFormat="false" customHeight="false" hidden="false" ht="12.1" outlineLevel="0" r="404">
      <c r="A404" s="5" t="s">
        <f>=HYPERLINK("https://leilaoonline.com.br/lote/detalhe/58149", "808")</f>
      </c>
      <c r="B404" s="4" t="s">
        <f>=HYPERLINK("https://leilaoonline.com.br/lote/detalhe/58149", "CD-018-2020 - 4 ITENS PARTES E PECAS; NOME DO ITEM: ROLAMENTO; APLICACAO: ESPESSADOR 34M - 115066-F BAKER HUGHES Rothe Erde 060.40.1267.003.21.1323 THYSSENKRUPP")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700,00</t>
        </is>
      </c>
      <c r="F404" s="4" t="inlineStr">
        <is>
          <t>100.00</t>
        </is>
      </c>
    </row>
    <row collapsed="false" customFormat="false" customHeight="false" hidden="false" ht="12.1" outlineLevel="0" r="405">
      <c r="A405" s="5" t="s">
        <f>=HYPERLINK("https://leilaoonline.com.br/lote/detalhe/58150", "809")</f>
      </c>
      <c r="B405" s="4" t="s">
        <f>=HYPERLINK("https://leilaoonline.com.br/lote/detalhe/58150", "CD-029-2020  - 13 ITENS - CARCACA COMPONENTE, TE COMPONENTE - VEJA DESCRITIVO DE ITENS")</f>
      </c>
      <c r="C405" s="4" t="inlineStr">
        <is>
          <t>Não vendido</t>
        </is>
      </c>
      <c r="D405" s="4" t="inlineStr">
        <is>
          <t>6</t>
        </is>
      </c>
      <c r="E405" s="5" t="inlineStr">
        <is>
          <t>1.000,00</t>
        </is>
      </c>
      <c r="F405" s="4" t="inlineStr">
        <is>
          <t>100.00</t>
        </is>
      </c>
    </row>
    <row collapsed="false" customFormat="false" customHeight="false" hidden="false" ht="12.1" outlineLevel="0" r="406">
      <c r="A406" s="5" t="s">
        <f>=HYPERLINK("https://leilaoonline.com.br/lote/detalhe/58151", "810")</f>
      </c>
      <c r="B406" s="4" t="s">
        <f>=HYPERLINK("https://leilaoonline.com.br/lote/detalhe/58151", "CD-082-2019 - APROX. 886 ITENS FILTRO FLUIDO, TELA COMPONENTE E OUTROS - VEJA DESCRITIVO DE ITENS")</f>
      </c>
      <c r="C406" s="4" t="inlineStr">
        <is>
          <t>Vendido</t>
        </is>
      </c>
      <c r="D406" s="4" t="inlineStr">
        <is>
          <t>8</t>
        </is>
      </c>
      <c r="E406" s="5" t="inlineStr">
        <is>
          <t>1.200,00</t>
        </is>
      </c>
      <c r="F406" s="4" t="inlineStr">
        <is>
          <t>100.00</t>
        </is>
      </c>
    </row>
    <row collapsed="false" customFormat="false" customHeight="false" hidden="false" ht="12.1" outlineLevel="0" r="407">
      <c r="A407" s="5" t="s">
        <f>=HYPERLINK("https://leilaoonline.com.br/lote/detalhe/58152", "811")</f>
      </c>
      <c r="B407" s="4" t="s">
        <f>=HYPERLINK("https://leilaoonline.com.br/lote/detalhe/58152", "CD-145-2020 - APROX. 498 ITENS - RETENTOR, ROLAMENTO E OUTROS - VEJA DESCRITIVO DE ITENS")</f>
      </c>
      <c r="C407" s="4" t="inlineStr">
        <is>
          <t>Não vendido</t>
        </is>
      </c>
      <c r="D407" s="4" t="inlineStr">
        <is>
          <t>2</t>
        </is>
      </c>
      <c r="E407" s="5" t="inlineStr">
        <is>
          <t>600,00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=HYPERLINK("https://leilaoonline.com.br/lote/detalhe/58153", "812")</f>
      </c>
      <c r="B408" s="4" t="s">
        <f>=HYPERLINK("https://leilaoonline.com.br/lote/detalhe/58153", "CD-149-2020 - APROX. 112 ITENS - REVESTIMENTO COMPONENTE, ENGRENAGEM VALVULA E OUTROS - VEJA DESCRITIVO DE ITENS")</f>
      </c>
      <c r="C408" s="4" t="inlineStr">
        <is>
          <t>Vendido</t>
        </is>
      </c>
      <c r="D408" s="4" t="inlineStr">
        <is>
          <t>11</t>
        </is>
      </c>
      <c r="E408" s="5" t="inlineStr">
        <is>
          <t>2.000,00</t>
        </is>
      </c>
      <c r="F408" s="4" t="inlineStr">
        <is>
          <t>100.00</t>
        </is>
      </c>
    </row>
    <row collapsed="false" customFormat="false" customHeight="false" hidden="false" ht="12.1" outlineLevel="0" r="409">
      <c r="A409" s="5" t="s">
        <f>=HYPERLINK("https://leilaoonline.com.br/lote/detalhe/58157", "813")</f>
      </c>
      <c r="B409" s="4" t="s">
        <f>=HYPERLINK("https://leilaoonline.com.br/lote/detalhe/58157", "CD-150-2020 - APROX. 396 ITENS - CORREIA, MANGUEIRA E OUTROS - VEJA DESCRITIVO DE ITENS")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100.00</t>
        </is>
      </c>
    </row>
    <row collapsed="false" customFormat="false" customHeight="false" hidden="false" ht="12.1" outlineLevel="0" r="410">
      <c r="A410" s="5" t="s">
        <f>=HYPERLINK("https://leilaoonline.com.br/lote/detalhe/58158", "814")</f>
      </c>
      <c r="B410" s="4" t="s">
        <f>=HYPERLINK("https://leilaoonline.com.br/lote/detalhe/58158", "CD-151-2020 - APROX. 106 ITENS - ROTOR COMPONENTE, ROLO TRANSP CARGA E OUTROS - VEJA DESCRITIVO DE ITENS")</f>
      </c>
      <c r="C410" s="4" t="inlineStr">
        <is>
          <t>Não vendido</t>
        </is>
      </c>
      <c r="D410" s="4" t="inlineStr">
        <is>
          <t>13</t>
        </is>
      </c>
      <c r="E410" s="5" t="inlineStr">
        <is>
          <t>1.800,00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=HYPERLINK("https://leilaoonline.com.br/lote/detalhe/58159", "815")</f>
      </c>
      <c r="B411" s="4" t="s">
        <f>=HYPERLINK("https://leilaoonline.com.br/lote/detalhe/58159", "CD-153-2020 - APROX. 288 ITENS - ROLAMENTO, TAMPA COMPONENTE E OUTROS - VEJA DESCRITIVO DE ITENS")</f>
      </c>
      <c r="C411" s="4" t="inlineStr">
        <is>
          <t>Vendido</t>
        </is>
      </c>
      <c r="D411" s="4" t="inlineStr">
        <is>
          <t>103</t>
        </is>
      </c>
      <c r="E411" s="5" t="inlineStr">
        <is>
          <t>16.100,00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=HYPERLINK("https://leilaoonline.com.br/lote/detalhe/58188", "816")</f>
      </c>
      <c r="B412" s="4" t="s">
        <f>=HYPERLINK("https://leilaoonline.com.br/lote/detalhe/58188", "CD-154-2020- 8.221 ITENS, EIXO COMPONENTE, PARAFUSO CAB SEXTAVADA E OUTROS - VEJA DESCRITIVO DE ITENS ")</f>
      </c>
      <c r="C412" s="4" t="inlineStr">
        <is>
          <t>Não vendido</t>
        </is>
      </c>
      <c r="D412" s="4" t="inlineStr">
        <is>
          <t>1</t>
        </is>
      </c>
      <c r="E412" s="5" t="inlineStr">
        <is>
          <t>500,00</t>
        </is>
      </c>
      <c r="F412" s="4" t="inlineStr">
        <is>
          <t>100.00</t>
        </is>
      </c>
    </row>
    <row collapsed="false" customFormat="false" customHeight="false" hidden="false" ht="12.1" outlineLevel="0" r="413">
      <c r="A413" s="5" t="s">
        <f>=HYPERLINK("https://leilaoonline.com.br/lote/detalhe/58189", "817")</f>
      </c>
      <c r="B413" s="4" t="s">
        <f>=HYPERLINK("https://leilaoonline.com.br/lote/detalhe/58189", "CD-155-2020- 5.984 ITENS, PARAFUSOS, BUCHAS, PINOS DIVERSOS - VEJA DESCRITIVO DE ITENS ")</f>
      </c>
      <c r="C413" s="4" t="inlineStr">
        <is>
          <t>Vendido</t>
        </is>
      </c>
      <c r="D413" s="4" t="inlineStr">
        <is>
          <t>3</t>
        </is>
      </c>
      <c r="E413" s="5" t="inlineStr">
        <is>
          <t>700,00</t>
        </is>
      </c>
      <c r="F413" s="4" t="inlineStr">
        <is>
          <t>100.00</t>
        </is>
      </c>
    </row>
    <row collapsed="false" customFormat="false" customHeight="false" hidden="false" ht="12.1" outlineLevel="0" r="414">
      <c r="A414" s="5" t="s">
        <f>=HYPERLINK("https://leilaoonline.com.br/lote/detalhe/58190", "818")</f>
      </c>
      <c r="B414" s="4" t="s">
        <f>=HYPERLINK("https://leilaoonline.com.br/lote/detalhe/58190", "CKS-MRO-025-2020- 6 PEÇAS DE CABOS COMPONENTES DIVERSOS- VEJA DESCRITIVO DE ITENS ")</f>
      </c>
      <c r="C414" s="4" t="inlineStr">
        <is>
          <t>Não vendido</t>
        </is>
      </c>
      <c r="D414" s="4" t="inlineStr">
        <is>
          <t>37</t>
        </is>
      </c>
      <c r="E414" s="5" t="inlineStr">
        <is>
          <t>4.100,00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=HYPERLINK("https://leilaoonline.com.br/lote/detalhe/58191", "819")</f>
      </c>
      <c r="B415" s="4" t="s">
        <f>=HYPERLINK("https://leilaoonline.com.br/lote/detalhe/58191", "CKS-MRO-026-2020- 1.354 ITENS, FUSIVEIS, ANEIS, MOLAS E OUTROS- VEJA DESCRITIVO DE ITENS ")</f>
      </c>
      <c r="C415" s="4" t="inlineStr">
        <is>
          <t>Não vendido</t>
        </is>
      </c>
      <c r="D415" s="4" t="inlineStr">
        <is>
          <t>4</t>
        </is>
      </c>
      <c r="E415" s="5" t="inlineStr">
        <is>
          <t>800,00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=HYPERLINK("https://leilaoonline.com.br/lote/detalhe/58192", "820")</f>
      </c>
      <c r="B416" s="4" t="s">
        <f>=HYPERLINK("https://leilaoonline.com.br/lote/detalhe/58192", "CPBS-010-2020- 84 ITENS - EQUIPAMENTOS DE SEGURANÇA DIVERSOS - VEJA DESCRITIVO DE ITENS 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500,00</t>
        </is>
      </c>
      <c r="F416" s="4" t="inlineStr">
        <is>
          <t>100.00</t>
        </is>
      </c>
    </row>
    <row collapsed="false" customFormat="false" customHeight="false" hidden="false" ht="12.1" outlineLevel="0" r="417">
      <c r="A417" s="5" t="s">
        <f>=HYPERLINK("https://leilaoonline.com.br/lote/detalhe/58193", "821")</f>
      </c>
      <c r="B417" s="4" t="s">
        <f>=HYPERLINK("https://leilaoonline.com.br/lote/detalhe/58193", "CPBS-011-2020 - 3 PEÇAS CELULA CARGA;CAPACIDADE 0,68, KRATOS; MAGCON- ITAGUAI - PORTO DE SEPETIBA")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100.00</t>
        </is>
      </c>
    </row>
    <row collapsed="false" customFormat="false" customHeight="false" hidden="false" ht="12.1" outlineLevel="0" r="418">
      <c r="A418" s="5" t="s">
        <f>=HYPERLINK("https://leilaoonline.com.br/lote/detalhe/58194", "822")</f>
      </c>
      <c r="B418" s="4" t="s">
        <f>=HYPERLINK("https://leilaoonline.com.br/lote/detalhe/58194", "FAB-065-2020- 14 ITENS, FLANGE COMPONENTE, GUIA COMPONENTE E OUTROS - VEJA DESCRITIVO DE ITENS ")</f>
      </c>
      <c r="C418" s="4" t="inlineStr">
        <is>
          <t>Não vendido</t>
        </is>
      </c>
      <c r="D418" s="4" t="inlineStr">
        <is>
          <t>21</t>
        </is>
      </c>
      <c r="E418" s="5" t="inlineStr">
        <is>
          <t>2.500,00</t>
        </is>
      </c>
      <c r="F418" s="4" t="inlineStr">
        <is>
          <t>100.00</t>
        </is>
      </c>
    </row>
    <row collapsed="false" customFormat="false" customHeight="false" hidden="false" ht="12.1" outlineLevel="0" r="419">
      <c r="A419" s="5" t="s">
        <f>=HYPERLINK("https://leilaoonline.com.br/lote/detalhe/58195", "823")</f>
      </c>
      <c r="B419" s="4" t="s">
        <f>=HYPERLINK("https://leilaoonline.com.br/lote/detalhe/58195", "FAB-066-2020- 77 ITENS, TELA PENEIRA, ENGRENAGEM - VEJA DESCRITIVO DE ITENS ")</f>
      </c>
      <c r="C419" s="4" t="inlineStr">
        <is>
          <t>Não vendido</t>
        </is>
      </c>
      <c r="D419" s="4" t="inlineStr">
        <is>
          <t>1</t>
        </is>
      </c>
      <c r="E419" s="5" t="inlineStr">
        <is>
          <t>500,00</t>
        </is>
      </c>
      <c r="F419" s="4" t="inlineStr">
        <is>
          <t>100.00</t>
        </is>
      </c>
    </row>
    <row collapsed="false" customFormat="false" customHeight="false" hidden="false" ht="12.1" outlineLevel="0" r="420">
      <c r="A420" s="5" t="s">
        <f>=HYPERLINK("https://leilaoonline.com.br/lote/detalhe/58196", "824")</f>
      </c>
      <c r="B420" s="4" t="s">
        <f>=HYPERLINK("https://leilaoonline.com.br/lote/detalhe/58196", "FAB-067-2020- 80 ITENS, MODULO ELETR, REGULADOR TENSAO E OUTROS- VEJA DESCRITIVO DE ITENS ")</f>
      </c>
      <c r="C420" s="4" t="inlineStr">
        <is>
          <t>Não vendido</t>
        </is>
      </c>
      <c r="D420" s="4" t="inlineStr">
        <is>
          <t>16</t>
        </is>
      </c>
      <c r="E420" s="5" t="inlineStr">
        <is>
          <t>2.000,00</t>
        </is>
      </c>
      <c r="F420" s="4" t="inlineStr">
        <is>
          <t>100.00</t>
        </is>
      </c>
    </row>
    <row collapsed="false" customFormat="false" customHeight="false" hidden="false" ht="12.1" outlineLevel="0" r="421">
      <c r="A421" s="5" t="s">
        <f>=HYPERLINK("https://leilaoonline.com.br/lote/detalhe/58197", "825")</f>
      </c>
      <c r="B421" s="4" t="s">
        <f>=HYPERLINK("https://leilaoonline.com.br/lote/detalhe/58197", "GOV-074-2020- APROX. 36 PÇAS FILTRO FLUIDO AR, LOC. GOVERNADOR VALADARES/MG")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100.00</t>
        </is>
      </c>
    </row>
    <row collapsed="false" customFormat="false" customHeight="false" hidden="false" ht="12.1" outlineLevel="0" r="422">
      <c r="A422" s="5" t="s">
        <f>=HYPERLINK("https://leilaoonline.com.br/lote/detalhe/58198", "826")</f>
      </c>
      <c r="B422" s="4" t="s">
        <f>=HYPERLINK("https://leilaoonline.com.br/lote/detalhe/58198", "GOV-075-2020- 04 PÇAS RADIADOR 303905 SPENO- LOC. GOVERNADOR VALADARES/MG ")</f>
      </c>
      <c r="C422" s="4" t="inlineStr">
        <is>
          <t>Vendido</t>
        </is>
      </c>
      <c r="D422" s="4" t="inlineStr">
        <is>
          <t>67</t>
        </is>
      </c>
      <c r="E422" s="5" t="inlineStr">
        <is>
          <t>7.700,00</t>
        </is>
      </c>
      <c r="F422" s="4" t="inlineStr">
        <is>
          <t>100.00</t>
        </is>
      </c>
    </row>
    <row collapsed="false" customFormat="false" customHeight="false" hidden="false" ht="12.1" outlineLevel="0" r="423">
      <c r="A423" s="5" t="s">
        <f>=HYPERLINK("https://leilaoonline.com.br/lote/detalhe/58199", "827")</f>
      </c>
      <c r="B423" s="4" t="s">
        <f>=HYPERLINK("https://leilaoonline.com.br/lote/detalhe/58199", "GOV-076-2020- 1.611 ITENS PARAFUSO, CABOS , ENGRENAGENS E OUTROS-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100.00</t>
        </is>
      </c>
    </row>
    <row collapsed="false" customFormat="false" customHeight="false" hidden="false" ht="12.1" outlineLevel="0" r="424">
      <c r="A424" s="5" t="s">
        <f>=HYPERLINK("https://leilaoonline.com.br/lote/detalhe/58327", "828")</f>
      </c>
      <c r="B424" s="4" t="s">
        <f>=HYPERLINK("https://leilaoonline.com.br/lote/detalhe/58327", "MCR-081-2020- 22 REVESTIMENTO 727.0185-901 SANDVIK - LOC. Corumbá/MS")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100.00</t>
        </is>
      </c>
    </row>
    <row collapsed="false" customFormat="false" customHeight="false" hidden="false" ht="12.1" outlineLevel="0" r="425">
      <c r="A425" s="5" t="s">
        <f>=HYPERLINK("https://leilaoonline.com.br/lote/detalhe/58328", "829")</f>
      </c>
      <c r="B425" s="4" t="s">
        <f>=HYPERLINK("https://leilaoonline.com.br/lote/detalhe/58328", "MCR-082-2020- 08 TELA;PROT;AUTOLIMPANTE PT;4MM X 4,5MM- LOC. Corumbá/MS")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500,00</t>
        </is>
      </c>
      <c r="F425" s="4" t="inlineStr">
        <is>
          <t>100.00</t>
        </is>
      </c>
    </row>
    <row collapsed="false" customFormat="false" customHeight="false" hidden="false" ht="12.1" outlineLevel="0" r="426">
      <c r="A426" s="5" t="s">
        <f>=HYPERLINK("https://leilaoonline.com.br/lote/detalhe/58329", "830")</f>
      </c>
      <c r="B426" s="4" t="s">
        <f>=HYPERLINK("https://leilaoonline.com.br/lote/detalhe/58329", "MCR-083-2020-569 ITENS, ANEIS, JOGO DE REPAROS, FREIOS E OUTROS, VEJA DESCRITIVO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100.00</t>
        </is>
      </c>
    </row>
    <row collapsed="false" customFormat="false" customHeight="false" hidden="false" ht="12.1" outlineLevel="0" r="427">
      <c r="A427" s="5" t="s">
        <f>=HYPERLINK("https://leilaoonline.com.br/lote/detalhe/58330", "831")</f>
      </c>
      <c r="B427" s="4" t="s">
        <f>=HYPERLINK("https://leilaoonline.com.br/lote/detalhe/58330", "MCR-085-2020-164 PÇAS DE PENEIRA DE ROLOS - LOC. Corumbá/MS")</f>
      </c>
      <c r="C427" s="4" t="inlineStr">
        <is>
          <t>Vendido</t>
        </is>
      </c>
      <c r="D427" s="4" t="inlineStr">
        <is>
          <t>5</t>
        </is>
      </c>
      <c r="E427" s="5" t="inlineStr">
        <is>
          <t>900,00</t>
        </is>
      </c>
      <c r="F427" s="4" t="inlineStr">
        <is>
          <t>100.00</t>
        </is>
      </c>
    </row>
    <row collapsed="false" customFormat="false" customHeight="false" hidden="false" ht="12.1" outlineLevel="0" r="428">
      <c r="A428" s="5" t="s">
        <f>=HYPERLINK("https://leilaoonline.com.br/lote/detalhe/58331", "832")</f>
      </c>
      <c r="B428" s="4" t="s">
        <f>=HYPERLINK("https://leilaoonline.com.br/lote/detalhe/58331", "MCR-086-2020- 22 PÇAS MOLA;COMPR;SAE 5160;305MM;198,40MM- LOC. Corumbá/MS")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500,00</t>
        </is>
      </c>
      <c r="F428" s="4" t="inlineStr">
        <is>
          <t>100.00</t>
        </is>
      </c>
    </row>
    <row collapsed="false" customFormat="false" customHeight="false" hidden="false" ht="12.1" outlineLevel="0" r="429">
      <c r="A429" s="5" t="s">
        <f>=HYPERLINK("https://leilaoonline.com.br/lote/detalhe/58332", "833")</f>
      </c>
      <c r="B429" s="4" t="s">
        <f>=HYPERLINK("https://leilaoonline.com.br/lote/detalhe/58332", "MCR-087-2020- 237 ITENS , ANEIS , JOGO DE VEDAÇÃO, SELOS - VEJA DESCRITIVO DE ITENS 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500,00</t>
        </is>
      </c>
      <c r="F429" s="4" t="inlineStr">
        <is>
          <t>100.00</t>
        </is>
      </c>
    </row>
    <row collapsed="false" customFormat="false" customHeight="false" hidden="false" ht="12.1" outlineLevel="0" r="430">
      <c r="A430" s="5" t="s">
        <f>=HYPERLINK("https://leilaoonline.com.br/lote/detalhe/58333", "834")</f>
      </c>
      <c r="B430" s="4" t="s">
        <f>=HYPERLINK("https://leilaoonline.com.br/lote/detalhe/58333", "MCR-088-2020- 266 ITENS, BICOS, ENGRENAGENS, SUPORTES E OUTROS- VEJA DESCRITIVOS DE ITENS ")</f>
      </c>
      <c r="C430" s="4" t="inlineStr">
        <is>
          <t>Vendido</t>
        </is>
      </c>
      <c r="D430" s="4" t="inlineStr">
        <is>
          <t>4</t>
        </is>
      </c>
      <c r="E430" s="5" t="inlineStr">
        <is>
          <t>1.100,00</t>
        </is>
      </c>
      <c r="F430" s="4" t="inlineStr">
        <is>
          <t>100.00</t>
        </is>
      </c>
    </row>
    <row collapsed="false" customFormat="false" customHeight="false" hidden="false" ht="12.1" outlineLevel="0" r="431">
      <c r="A431" s="5" t="s">
        <f>=HYPERLINK("https://leilaoonline.com.br/lote/detalhe/58334", "835")</f>
      </c>
      <c r="B431" s="4" t="s">
        <f>=HYPERLINK("https://leilaoonline.com.br/lote/detalhe/58334", "MCR-092-2020-1500 ITENS, CONECTORES, GARRA DE LIGAÇÃO, COTOVELO E OUTROS - VEJA DESCRITIVO DE ITENS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100.00</t>
        </is>
      </c>
    </row>
    <row collapsed="false" customFormat="false" customHeight="false" hidden="false" ht="12.1" outlineLevel="0" r="432">
      <c r="A432" s="5" t="s">
        <f>=HYPERLINK("https://leilaoonline.com.br/lote/detalhe/58336", "836")</f>
      </c>
      <c r="B432" s="4" t="s">
        <f>=HYPERLINK("https://leilaoonline.com.br/lote/detalhe/58336", "MCR-093-2020-28 ITENS, ACOPLAMENTOS, CHAVETA E OUTROS- VEJA DESCRITIVO DE ITENS ")</f>
      </c>
      <c r="C432" s="4" t="inlineStr">
        <is>
          <t>Vendido</t>
        </is>
      </c>
      <c r="D432" s="4" t="inlineStr">
        <is>
          <t>6</t>
        </is>
      </c>
      <c r="E432" s="5" t="inlineStr">
        <is>
          <t>1.000,00</t>
        </is>
      </c>
      <c r="F432" s="4" t="inlineStr">
        <is>
          <t>100.00</t>
        </is>
      </c>
    </row>
    <row collapsed="false" customFormat="false" customHeight="false" hidden="false" ht="12.1" outlineLevel="0" r="433">
      <c r="A433" s="5" t="s">
        <f>=HYPERLINK("https://leilaoonline.com.br/lote/detalhe/58337", "837")</f>
      </c>
      <c r="B433" s="4" t="s">
        <f>=HYPERLINK("https://leilaoonline.com.br/lote/detalhe/58337", "MCR-094-2020- 245 ITENS, MANGUEIRAS, RETENTORES E OUTROS- VEJA DESCRITIVO DE ITENS ")</f>
      </c>
      <c r="C433" s="4" t="inlineStr">
        <is>
          <t>Não vendido</t>
        </is>
      </c>
      <c r="D433" s="4" t="inlineStr">
        <is>
          <t>1</t>
        </is>
      </c>
      <c r="E433" s="5" t="inlineStr">
        <is>
          <t>500,00</t>
        </is>
      </c>
      <c r="F433" s="4" t="inlineStr">
        <is>
          <t>100.00</t>
        </is>
      </c>
    </row>
    <row collapsed="false" customFormat="false" customHeight="false" hidden="false" ht="12.1" outlineLevel="0" r="434">
      <c r="A434" s="5" t="s">
        <f>=HYPERLINK("https://leilaoonline.com.br/lote/detalhe/58351", "838")</f>
      </c>
      <c r="B434" s="4" t="s">
        <f>=HYPERLINK("https://leilaoonline.com.br/lote/detalhe/58351", "MUT-060-2020-34 ITENS - Abraçadeira Reforçada, Batente, arruela e outros - VEJA DESCRITIVO DE ITENS 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500,00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=HYPERLINK("https://leilaoonline.com.br/lote/detalhe/58352", "839")</f>
      </c>
      <c r="B435" s="4" t="s">
        <f>=HYPERLINK("https://leilaoonline.com.br/lote/detalhe/58352", "MUT-061-2020-86 ITENS, PINO COMPONENTE, ARRUELA , PARAFUSO E OUTROS- VEJA DESCRITIVO DE ITENS 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500,00</t>
        </is>
      </c>
      <c r="F435" s="4" t="inlineStr">
        <is>
          <t>100.00</t>
        </is>
      </c>
    </row>
    <row collapsed="false" customFormat="false" customHeight="false" hidden="false" ht="12.1" outlineLevel="0" r="436">
      <c r="A436" s="5" t="s">
        <f>=HYPERLINK("https://leilaoonline.com.br/lote/detalhe/58353", "840")</f>
      </c>
      <c r="B436" s="4" t="s">
        <f>=HYPERLINK("https://leilaoonline.com.br/lote/detalhe/58353", "MUT-062-2020- 161 ITENS, EIXO/PINHÃO, VÁLVULA GAVETA E OUTROS-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100.00</t>
        </is>
      </c>
    </row>
    <row collapsed="false" customFormat="false" customHeight="false" hidden="false" ht="12.1" outlineLevel="0" r="437">
      <c r="A437" s="5" t="s">
        <f>=HYPERLINK("https://leilaoonline.com.br/lote/detalhe/58354", "841")</f>
      </c>
      <c r="B437" s="4" t="s">
        <f>=HYPERLINK("https://leilaoonline.com.br/lote/detalhe/58354", "MUT-063-2020-21 ITENS, CAIXA MANCAL, ISOLADOR ELETRICO E OUTROS- VEJA DESCRITIVO DE ITENS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500,00</t>
        </is>
      </c>
      <c r="F437" s="4" t="inlineStr">
        <is>
          <t>100.00</t>
        </is>
      </c>
    </row>
    <row collapsed="false" customFormat="false" customHeight="false" hidden="false" ht="12.1" outlineLevel="0" r="438">
      <c r="A438" s="5" t="s">
        <f>=HYPERLINK("https://leilaoonline.com.br/lote/detalhe/58355", "842")</f>
      </c>
      <c r="B438" s="4" t="s">
        <f>=HYPERLINK("https://leilaoonline.com.br/lote/detalhe/58355", "MUT-065-2020- 782 ITENS- MEDIDOR FLUXO, CURVA COMPONENTE E OUTROS- VEJA DESCRITIVO DE ITENS ")</f>
      </c>
      <c r="C438" s="4" t="inlineStr">
        <is>
          <t>Vendido</t>
        </is>
      </c>
      <c r="D438" s="4" t="inlineStr">
        <is>
          <t>6</t>
        </is>
      </c>
      <c r="E438" s="5" t="inlineStr">
        <is>
          <t>1.000,00</t>
        </is>
      </c>
      <c r="F438" s="4" t="inlineStr">
        <is>
          <t>100.00</t>
        </is>
      </c>
    </row>
    <row collapsed="false" customFormat="false" customHeight="false" hidden="false" ht="12.1" outlineLevel="0" r="439">
      <c r="A439" s="5" t="s">
        <f>=HYPERLINK("https://leilaoonline.com.br/lote/detalhe/58356", "843")</f>
      </c>
      <c r="B439" s="4" t="s">
        <f>=HYPERLINK("https://leilaoonline.com.br/lote/detalhe/58356", "MUT-066-2020- 84 ITENS- RELE MONTADO, CONDULETE METALICO  E OUTROS- VEJA DESCRITIVO DE ITENS ")</f>
      </c>
      <c r="C439" s="4" t="inlineStr">
        <is>
          <t>Não vendido</t>
        </is>
      </c>
      <c r="D439" s="4" t="inlineStr">
        <is>
          <t>61</t>
        </is>
      </c>
      <c r="E439" s="5" t="inlineStr">
        <is>
          <t>6.500,00</t>
        </is>
      </c>
      <c r="F439" s="4" t="inlineStr">
        <is>
          <t>100.00</t>
        </is>
      </c>
    </row>
    <row collapsed="false" customFormat="false" customHeight="false" hidden="false" ht="12.1" outlineLevel="0" r="440">
      <c r="A440" s="5" t="s">
        <f>=HYPERLINK("https://leilaoonline.com.br/lote/detalhe/58357", "844")</f>
      </c>
      <c r="B440" s="4" t="s">
        <f>=HYPERLINK("https://leilaoonline.com.br/lote/detalhe/58357", "MUT-067-2020-956 ITENS- Parafusos, Vedação, Arruela E OUTROS- VEJA DESCRITIVO DE ITENS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700,00</t>
        </is>
      </c>
      <c r="F440" s="4" t="inlineStr">
        <is>
          <t>100.00</t>
        </is>
      </c>
    </row>
    <row collapsed="false" customFormat="false" customHeight="false" hidden="false" ht="12.1" outlineLevel="0" r="441">
      <c r="A441" s="5" t="s">
        <f>=HYPERLINK("https://leilaoonline.com.br/lote/detalhe/58358", "845")</f>
      </c>
      <c r="B441" s="4" t="s">
        <f>=HYPERLINK("https://leilaoonline.com.br/lote/detalhe/58358", "MUT-068-2020- 78 ITENS - Pressostato, Termostato, Sensor Eletrico E OUTROS- VEJA DESCRITIVO DE ITENS ")</f>
      </c>
      <c r="C441" s="4" t="inlineStr">
        <is>
          <t>Vendido</t>
        </is>
      </c>
      <c r="D441" s="4" t="inlineStr">
        <is>
          <t>2</t>
        </is>
      </c>
      <c r="E441" s="5" t="inlineStr">
        <is>
          <t>600,00</t>
        </is>
      </c>
      <c r="F441" s="4" t="inlineStr">
        <is>
          <t>100.00</t>
        </is>
      </c>
    </row>
    <row collapsed="false" customFormat="false" customHeight="false" hidden="false" ht="12.1" outlineLevel="0" r="442">
      <c r="A442" s="5" t="s">
        <f>=HYPERLINK("https://leilaoonline.com.br/lote/detalhe/58359", "846")</f>
      </c>
      <c r="B442" s="4" t="s">
        <f>=HYPERLINK("https://leilaoonline.com.br/lote/detalhe/58359", "MUT-069-2020- 618 ITENS-TELA PENEIRA, ADAPTADOR E OUTROS- VEJA DESCRITIVO DE ITENS ")</f>
      </c>
      <c r="C442" s="4" t="inlineStr">
        <is>
          <t>Não vendido</t>
        </is>
      </c>
      <c r="D442" s="4" t="inlineStr">
        <is>
          <t>22</t>
        </is>
      </c>
      <c r="E442" s="5" t="inlineStr">
        <is>
          <t>2.600,00</t>
        </is>
      </c>
      <c r="F442" s="4" t="inlineStr">
        <is>
          <t>100.00</t>
        </is>
      </c>
    </row>
    <row collapsed="false" customFormat="false" customHeight="false" hidden="false" ht="12.1" outlineLevel="0" r="443">
      <c r="A443" s="5" t="s">
        <f>=HYPERLINK("https://leilaoonline.com.br/lote/detalhe/58360", "847")</f>
      </c>
      <c r="B443" s="4" t="s">
        <f>=HYPERLINK("https://leilaoonline.com.br/lote/detalhe/58360", "MUT-070-2020-30 ITENS-CABO APLICAÇÃO, ROLAMENTO, MOLA E OUTROS- VEJA DESCRITIVO DE ITENS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650,00</t>
        </is>
      </c>
      <c r="F443" s="4" t="inlineStr">
        <is>
          <t>100.00</t>
        </is>
      </c>
    </row>
    <row collapsed="false" customFormat="false" customHeight="false" hidden="false" ht="12.1" outlineLevel="0" r="444">
      <c r="A444" s="5" t="s">
        <f>=HYPERLINK("https://leilaoonline.com.br/lote/detalhe/58361", "848")</f>
      </c>
      <c r="B444" s="4" t="s">
        <f>=HYPERLINK("https://leilaoonline.com.br/lote/detalhe/58361", "MUT-071-2020- 329 ITENS- FILTRO FLUIDO, ANEL, FILTRO FLUIDO E OUTROS-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100.00</t>
        </is>
      </c>
    </row>
    <row collapsed="false" customFormat="false" customHeight="false" hidden="false" ht="12.1" outlineLevel="0" r="445">
      <c r="A445" s="5" t="s">
        <f>=HYPERLINK("https://leilaoonline.com.br/lote/detalhe/58362", "849")</f>
      </c>
      <c r="B445" s="4" t="s">
        <f>=HYPERLINK("https://leilaoonline.com.br/lote/detalhe/58362", "MUT-073-2020-82 ITENS- CABO ELÉTRICO, MANGUEIRA MONTADA E OUTROS - VEJA DESCRITIVO DE ITENS 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100.00</t>
        </is>
      </c>
    </row>
    <row collapsed="false" customFormat="false" customHeight="false" hidden="false" ht="12.1" outlineLevel="0" r="446">
      <c r="A446" s="5" t="s">
        <f>=HYPERLINK("https://leilaoonline.com.br/lote/detalhe/58363", "850")</f>
      </c>
      <c r="B446" s="4" t="s">
        <f>=HYPERLINK("https://leilaoonline.com.br/lote/detalhe/58363", "MUT-074-2020- 616 ITENS, PARAFUSO, PORCA, ARRUELA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100.00</t>
        </is>
      </c>
    </row>
    <row collapsed="false" customFormat="false" customHeight="false" hidden="false" ht="12.1" outlineLevel="0" r="447">
      <c r="A447" s="5" t="s">
        <f>=HYPERLINK("https://leilaoonline.com.br/lote/detalhe/58367", "851")</f>
      </c>
      <c r="B447" s="4" t="s">
        <f>=HYPERLINK("https://leilaoonline.com.br/lote/detalhe/58367", "MUT-075-2020- 272 ITENS, CONTADOR DESCARGA, ELEMENTO FILTRO FLUID E OUTROS- VEJA DESCRITIVO DE ITENS 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700,00</t>
        </is>
      </c>
      <c r="F447" s="4" t="inlineStr">
        <is>
          <t>100.00</t>
        </is>
      </c>
    </row>
    <row collapsed="false" customFormat="false" customHeight="false" hidden="false" ht="12.1" outlineLevel="0" r="448">
      <c r="A448" s="5" t="s">
        <f>=HYPERLINK("https://leilaoonline.com.br/lote/detalhe/58368", "852")</f>
      </c>
      <c r="B448" s="4" t="s">
        <f>=HYPERLINK("https://leilaoonline.com.br/lote/detalhe/58368", "MUT-076-2020 - 626 ITENS, VEDACAO PLANA, MANGUEIRA MONTADA NAO METALICA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100.00</t>
        </is>
      </c>
    </row>
    <row collapsed="false" customFormat="false" customHeight="false" hidden="false" ht="12.1" outlineLevel="0" r="449">
      <c r="A449" s="5" t="s">
        <f>=HYPERLINK("https://leilaoonline.com.br/lote/detalhe/58369", "853")</f>
      </c>
      <c r="B449" s="4" t="s">
        <f>=HYPERLINK("https://leilaoonline.com.br/lote/detalhe/58369", "MUT-077-2020 - 58 ITENS, LAMINA RASPADORA, VALVULA SEQUENCIA E OUTROS- VEJA DESCRITIVO DE ITENS 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500,00</t>
        </is>
      </c>
      <c r="F449" s="4" t="inlineStr">
        <is>
          <t>100.00</t>
        </is>
      </c>
    </row>
    <row collapsed="false" customFormat="false" customHeight="false" hidden="false" ht="12.1" outlineLevel="0" r="450">
      <c r="A450" s="5" t="s">
        <f>=HYPERLINK("https://leilaoonline.com.br/lote/detalhe/58370", "854")</f>
      </c>
      <c r="B450" s="4" t="s">
        <f>=HYPERLINK("https://leilaoonline.com.br/lote/detalhe/58370", "MUT-078-2020 - 323 ITENS, PASTILHA FREIO, ANÉIS, ARRUELAS E OUTROS- VEJA DESCRITIVO DE ITENS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500,00</t>
        </is>
      </c>
      <c r="F450" s="4" t="inlineStr">
        <is>
          <t>100.00</t>
        </is>
      </c>
    </row>
    <row collapsed="false" customFormat="false" customHeight="false" hidden="false" ht="12.1" outlineLevel="0" r="451">
      <c r="A451" s="5" t="s">
        <f>=HYPERLINK("https://leilaoonline.com.br/lote/detalhe/58371", "855")</f>
      </c>
      <c r="B451" s="4" t="s">
        <f>=HYPERLINK("https://leilaoonline.com.br/lote/detalhe/58371", "MUT-079-2020 - 84 ITENS, LAMINAS, BUCHAS , JUNTAS E OUTROS- VEJA DESCRITIVO DE ITENS ")</f>
      </c>
      <c r="C451" s="4" t="inlineStr">
        <is>
          <t>Vendido</t>
        </is>
      </c>
      <c r="D451" s="4" t="inlineStr">
        <is>
          <t>3</t>
        </is>
      </c>
      <c r="E451" s="5" t="inlineStr">
        <is>
          <t>700,00</t>
        </is>
      </c>
      <c r="F451" s="4" t="inlineStr">
        <is>
          <t>100.00</t>
        </is>
      </c>
    </row>
    <row collapsed="false" customFormat="false" customHeight="false" hidden="false" ht="12.1" outlineLevel="0" r="452">
      <c r="A452" s="5" t="s">
        <f>=HYPERLINK("https://leilaoonline.com.br/lote/detalhe/58372", "856")</f>
      </c>
      <c r="B452" s="4" t="s">
        <f>=HYPERLINK("https://leilaoonline.com.br/lote/detalhe/58372", "MUT-080-2020 - 141 ITENS, LAMPADA INCANDESCENTE , ABRACADEIRA  E OUTROS- VEJA DESCRITIVO DE ITENS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500,00</t>
        </is>
      </c>
      <c r="F452" s="4" t="inlineStr">
        <is>
          <t>100.00</t>
        </is>
      </c>
    </row>
    <row collapsed="false" customFormat="false" customHeight="false" hidden="false" ht="12.1" outlineLevel="0" r="453">
      <c r="A453" s="5" t="s">
        <f>=HYPERLINK("https://leilaoonline.com.br/lote/detalhe/58373", "857")</f>
      </c>
      <c r="B453" s="4" t="s">
        <f>=HYPERLINK("https://leilaoonline.com.br/lote/detalhe/58373", "MUT-081-2020 - 93 ITENS, MANGUEIRA MONTADA NAO METALICA, CONECTORES E OUTROS- VEJA DESCRITIVO DE ITENS 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500,00</t>
        </is>
      </c>
      <c r="F453" s="4" t="inlineStr">
        <is>
          <t>100.00</t>
        </is>
      </c>
    </row>
    <row collapsed="false" customFormat="false" customHeight="false" hidden="false" ht="12.1" outlineLevel="0" r="454">
      <c r="A454" s="5" t="s">
        <f>=HYPERLINK("https://leilaoonline.com.br/lote/detalhe/58374", "858")</f>
      </c>
      <c r="B454" s="4" t="s">
        <f>=HYPERLINK("https://leilaoonline.com.br/lote/detalhe/58374", "MUT-082-2020- 59 ITENS, ESCOVA CARVAO, TRANSFORMADOR E OUTROS- VEJA DESCRITIVO DE ITENS ")</f>
      </c>
      <c r="C454" s="4" t="inlineStr">
        <is>
          <t>Não vendido</t>
        </is>
      </c>
      <c r="D454" s="4" t="inlineStr">
        <is>
          <t>1</t>
        </is>
      </c>
      <c r="E454" s="5" t="inlineStr">
        <is>
          <t>500,00</t>
        </is>
      </c>
      <c r="F454" s="4" t="inlineStr">
        <is>
          <t>100.00</t>
        </is>
      </c>
    </row>
    <row collapsed="false" customFormat="false" customHeight="false" hidden="false" ht="12.1" outlineLevel="0" r="455">
      <c r="A455" s="5" t="s">
        <f>=HYPERLINK("https://leilaoonline.com.br/lote/detalhe/58375", "859")</f>
      </c>
      <c r="B455" s="4" t="s">
        <f>=HYPERLINK("https://leilaoonline.com.br/lote/detalhe/58375", "MUT-083-2020- 37 ITENS, REVESTIMENTO SUCCAO, CURVA BORRACHA E OUTROS- VEJA DESCRITIVO DE ITENS ")</f>
      </c>
      <c r="C455" s="4" t="inlineStr">
        <is>
          <t>Não vendido</t>
        </is>
      </c>
      <c r="D455" s="4" t="inlineStr">
        <is>
          <t>6</t>
        </is>
      </c>
      <c r="E455" s="5" t="inlineStr">
        <is>
          <t>1.000,00</t>
        </is>
      </c>
      <c r="F455" s="4" t="inlineStr">
        <is>
          <t>100.00</t>
        </is>
      </c>
    </row>
    <row collapsed="false" customFormat="false" customHeight="false" hidden="false" ht="12.1" outlineLevel="0" r="456">
      <c r="A456" s="5" t="s">
        <f>=HYPERLINK("https://leilaoonline.com.br/lote/detalhe/58201", "860")</f>
      </c>
      <c r="B456" s="4" t="s">
        <f>=HYPERLINK("https://leilaoonline.com.br/lote/detalhe/58201", "TIMBO-002-2020 - 25 ITENS - PARTES E PECAS EQUIP DIVERSOS E OUTROS- VEJA DESCRITIVO DE ITENS")</f>
      </c>
      <c r="C456" s="4" t="inlineStr">
        <is>
          <t>Vendido</t>
        </is>
      </c>
      <c r="D456" s="4" t="inlineStr">
        <is>
          <t>3</t>
        </is>
      </c>
      <c r="E456" s="5" t="inlineStr">
        <is>
          <t>700,00</t>
        </is>
      </c>
      <c r="F456" s="4" t="inlineStr">
        <is>
          <t>100.00</t>
        </is>
      </c>
    </row>
    <row collapsed="false" customFormat="false" customHeight="false" hidden="false" ht="12.1" outlineLevel="0" r="457">
      <c r="A457" s="5" t="s">
        <f>=HYPERLINK("https://leilaoonline.com.br/lote/detalhe/58202", "861")</f>
      </c>
      <c r="B457" s="4" t="s">
        <f>=HYPERLINK("https://leilaoonline.com.br/lote/detalhe/58202", "TIMBO-001-2020 - 27 ITENS - TELA PENEIRA; FORMATO MALHA: QUADRADA; TIPO: ALMA METALICA; DIMENSOES MALHA: 25X25MM; COMPRIMENTO TELA: 610MM; LARGURA TELA: 300MM; ALTURA TELA: 20MM; MATERIAL: BORRACHA; APLICACAO: PENEIRA VIBRATORIA;")</f>
      </c>
      <c r="C457" s="4" t="inlineStr">
        <is>
          <t>Vendido</t>
        </is>
      </c>
      <c r="D457" s="4" t="inlineStr">
        <is>
          <t>1</t>
        </is>
      </c>
      <c r="E457" s="5" t="inlineStr">
        <is>
          <t>500,00</t>
        </is>
      </c>
      <c r="F457" s="4" t="inlineStr">
        <is>
          <t>100.00</t>
        </is>
      </c>
    </row>
    <row collapsed="false" customFormat="false" customHeight="false" hidden="false" ht="12.1" outlineLevel="0" r="458">
      <c r="A458" s="5" t="s">
        <f>=HYPERLINK("https://leilaoonline.com.br/lote/detalhe/58203", "862")</f>
      </c>
      <c r="B458" s="4" t="s">
        <f>=HYPERLINK("https://leilaoonline.com.br/lote/detalhe/58203", "TIG-003-2020 - 33 ITENS - MOTOR CORRENTE ALTERNADA E OUTROS- VEJA DESCRITIVO DE ITENS")</f>
      </c>
      <c r="C458" s="4" t="inlineStr">
        <is>
          <t>Não vendido</t>
        </is>
      </c>
      <c r="D458" s="4" t="inlineStr">
        <is>
          <t>23</t>
        </is>
      </c>
      <c r="E458" s="5" t="inlineStr">
        <is>
          <t>2.800,00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=HYPERLINK("https://leilaoonline.com.br/lote/detalhe/58204", "863")</f>
      </c>
      <c r="B459" s="4" t="s">
        <f>=HYPERLINK("https://leilaoonline.com.br/lote/detalhe/58204", "SSG-020-2020-MRO - APROX. 845 ITENS ROLAMENTO ROL E OUTROS- VEJA DESCRITIVO DE ITENS")</f>
      </c>
      <c r="C459" s="4" t="inlineStr">
        <is>
          <t>Vendido</t>
        </is>
      </c>
      <c r="D459" s="4" t="inlineStr">
        <is>
          <t>41</t>
        </is>
      </c>
      <c r="E459" s="5" t="inlineStr">
        <is>
          <t>6.800,00</t>
        </is>
      </c>
      <c r="F459" s="4" t="inlineStr">
        <is>
          <t>250.00</t>
        </is>
      </c>
    </row>
    <row collapsed="false" customFormat="false" customHeight="false" hidden="false" ht="12.1" outlineLevel="0" r="460">
      <c r="A460" s="5" t="s">
        <f>=HYPERLINK("https://leilaoonline.com.br/lote/detalhe/58205", "864")</f>
      </c>
      <c r="B460" s="4" t="s">
        <f>=HYPERLINK("https://leilaoonline.com.br/lote/detalhe/58205", "SSG-019-2020-MRO - APROX. 291 ITENS - CALCA PROF OPER FEM E MASC E OUTROS- VEJA DESCRITIVO DE ITENS")</f>
      </c>
      <c r="C460" s="4" t="inlineStr">
        <is>
          <t>Vendido</t>
        </is>
      </c>
      <c r="D460" s="4" t="inlineStr">
        <is>
          <t>3</t>
        </is>
      </c>
      <c r="E460" s="5" t="inlineStr">
        <is>
          <t>700,00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=HYPERLINK("https://leilaoonline.com.br/lote/detalhe/58206", "865")</f>
      </c>
      <c r="B461" s="4" t="s">
        <f>=HYPERLINK("https://leilaoonline.com.br/lote/detalhe/58206", "SLB-014-2020 - 15 ITENS PLACA COMPONENTE E OUTROS- VEJA DESCRITIVO DE ITENS")</f>
      </c>
      <c r="C461" s="4" t="inlineStr">
        <is>
          <t>Não vendido</t>
        </is>
      </c>
      <c r="D461" s="4" t="inlineStr">
        <is>
          <t>1</t>
        </is>
      </c>
      <c r="E461" s="5" t="inlineStr">
        <is>
          <t>500,00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=HYPERLINK("https://leilaoonline.com.br/lote/detalhe/58207", "866")</f>
      </c>
      <c r="B462" s="4" t="s">
        <f>=HYPERLINK("https://leilaoonline.com.br/lote/detalhe/58207", "SFH-103-2020 - APROX. 9.279 - COMANDO HIDRAULICO, LACRE ZAMAC E OUTROS- VEJA DESCRITIVO DE ITENS")</f>
      </c>
      <c r="C462" s="4" t="inlineStr">
        <is>
          <t>Vendido</t>
        </is>
      </c>
      <c r="D462" s="4" t="inlineStr">
        <is>
          <t>81</t>
        </is>
      </c>
      <c r="E462" s="5" t="inlineStr">
        <is>
          <t>14.600,00</t>
        </is>
      </c>
      <c r="F462" s="4" t="inlineStr">
        <is>
          <t>250.00</t>
        </is>
      </c>
    </row>
    <row collapsed="false" customFormat="false" customHeight="false" hidden="false" ht="12.1" outlineLevel="0" r="463">
      <c r="A463" s="5" t="s">
        <f>=HYPERLINK("https://leilaoonline.com.br/lote/detalhe/58300", "867")</f>
      </c>
      <c r="B463" s="4" t="s">
        <f>=HYPERLINK("https://leilaoonline.com.br/lote/detalhe/58300", "SFH-012-2020 - APROX. 45 ITENS- ROLAMENTO, ELEMENTO FILTRO FLUIDO E OUTROS- VEJA DESCRITIVO DE ITENS")</f>
      </c>
      <c r="C463" s="4" t="inlineStr">
        <is>
          <t>Vendido</t>
        </is>
      </c>
      <c r="D463" s="4" t="inlineStr">
        <is>
          <t>16</t>
        </is>
      </c>
      <c r="E463" s="5" t="inlineStr">
        <is>
          <t>3.000,00</t>
        </is>
      </c>
      <c r="F463" s="4" t="inlineStr">
        <is>
          <t>100.00</t>
        </is>
      </c>
    </row>
    <row collapsed="false" customFormat="false" customHeight="false" hidden="false" ht="12.1" outlineLevel="0" r="464">
      <c r="A464" s="5" t="s">
        <f>=HYPERLINK("https://leilaoonline.com.br/lote/detalhe/58308", "868")</f>
      </c>
      <c r="B464" s="4" t="s">
        <f>=HYPERLINK("https://leilaoonline.com.br/lote/detalhe/58308", "SFH-011-2020 - APROX. 201 ITENS - MANGUEIRA, CORREIA E OUTROS- VEJA DESCRITIVO DE ITENS")</f>
      </c>
      <c r="C464" s="4" t="inlineStr">
        <is>
          <t>Não vendido</t>
        </is>
      </c>
      <c r="D464" s="4" t="inlineStr">
        <is>
          <t>1</t>
        </is>
      </c>
      <c r="E464" s="5" t="inlineStr">
        <is>
          <t>500,00</t>
        </is>
      </c>
      <c r="F464" s="4" t="inlineStr">
        <is>
          <t>100.00</t>
        </is>
      </c>
    </row>
    <row collapsed="false" customFormat="false" customHeight="false" hidden="false" ht="12.1" outlineLevel="0" r="465">
      <c r="A465" s="5" t="s">
        <f>=HYPERLINK("https://leilaoonline.com.br/lote/detalhe/58313", "869")</f>
      </c>
      <c r="B465" s="4" t="s">
        <f>=HYPERLINK("https://leilaoonline.com.br/lote/detalhe/58313", "SFH-010-2020 APROX. 283 ITENS - FILTRO HIDRAULICO, ELEMENTO FILTRO E OUTROS- VEJA DESCRITIVO DE ITENS")</f>
      </c>
      <c r="C465" s="4" t="inlineStr">
        <is>
          <t>Não vendido</t>
        </is>
      </c>
      <c r="D465" s="4" t="inlineStr">
        <is>
          <t>7</t>
        </is>
      </c>
      <c r="E465" s="5" t="inlineStr">
        <is>
          <t>1.200,00</t>
        </is>
      </c>
      <c r="F465" s="4" t="inlineStr">
        <is>
          <t>100.00</t>
        </is>
      </c>
    </row>
    <row collapsed="false" customFormat="false" customHeight="false" hidden="false" ht="12.1" outlineLevel="0" r="466">
      <c r="A466" s="5" t="s">
        <f>=HYPERLINK("https://leilaoonline.com.br/lote/detalhe/58318", "870")</f>
      </c>
      <c r="B466" s="4" t="s">
        <f>=HYPERLINK("https://leilaoonline.com.br/lote/detalhe/58318", "SFH-008-2020 - 45 ITENS MANCAL ROLAMENTO, PORCA E OUTROS- VEJA DESCRITIVO DE ITENS")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500,00</t>
        </is>
      </c>
      <c r="F466" s="4" t="inlineStr">
        <is>
          <t>100.00</t>
        </is>
      </c>
    </row>
    <row collapsed="false" customFormat="false" customHeight="false" hidden="false" ht="12.1" outlineLevel="0" r="467">
      <c r="A467" s="5" t="s">
        <f>=HYPERLINK("https://leilaoonline.com.br/lote/detalhe/58326", "871")</f>
      </c>
      <c r="B467" s="4" t="s">
        <f>=HYPERLINK("https://leilaoonline.com.br/lote/detalhe/58326", "SFH-007-2020 - APROX. 86 ITENS - MANGUEIRA, ANEL O.RING E OUTROS- VEJA DESCRITIVO DE ITENS")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500,00</t>
        </is>
      </c>
      <c r="F467" s="4" t="inlineStr">
        <is>
          <t>100.00</t>
        </is>
      </c>
    </row>
    <row collapsed="false" customFormat="false" customHeight="false" hidden="false" ht="12.1" outlineLevel="0" r="468">
      <c r="A468" s="5" t="s">
        <f>=HYPERLINK("https://leilaoonline.com.br/lote/detalhe/58346", "872")</f>
      </c>
      <c r="B468" s="4" t="s">
        <f>=HYPERLINK("https://leilaoonline.com.br/lote/detalhe/58346", "MUT-105-2020 48 ITENS - Vedação, Mancal E OUTROS- VEJA DESCRITIVO DE ITENS")</f>
      </c>
      <c r="C468" s="4" t="inlineStr">
        <is>
          <t>Vendido</t>
        </is>
      </c>
      <c r="D468" s="4" t="inlineStr">
        <is>
          <t>1</t>
        </is>
      </c>
      <c r="E468" s="5" t="inlineStr">
        <is>
          <t>500,00</t>
        </is>
      </c>
      <c r="F468" s="4" t="inlineStr">
        <is>
          <t>100.00</t>
        </is>
      </c>
    </row>
    <row collapsed="false" customFormat="false" customHeight="false" hidden="false" ht="12.1" outlineLevel="0" r="469">
      <c r="A469" s="5" t="s">
        <f>=HYPERLINK("https://leilaoonline.com.br/lote/detalhe/58347", "873")</f>
      </c>
      <c r="B469" s="4" t="s">
        <f>=HYPERLINK("https://leilaoonline.com.br/lote/detalhe/58347", "MUT-104-2020 - APROX. 170 ITENS Condulente, Lâmpada E OUTROS- VEJA DESCRITIVO DE ITENS")</f>
      </c>
      <c r="C469" s="4" t="inlineStr">
        <is>
          <t>Vendido</t>
        </is>
      </c>
      <c r="D469" s="4" t="inlineStr">
        <is>
          <t>2</t>
        </is>
      </c>
      <c r="E469" s="5" t="inlineStr">
        <is>
          <t>600,00</t>
        </is>
      </c>
      <c r="F469" s="4" t="inlineStr">
        <is>
          <t>100.00</t>
        </is>
      </c>
    </row>
    <row collapsed="false" customFormat="false" customHeight="false" hidden="false" ht="12.1" outlineLevel="0" r="470">
      <c r="A470" s="5" t="s">
        <f>=HYPERLINK("https://leilaoonline.com.br/lote/detalhe/58348", "874")</f>
      </c>
      <c r="B470" s="4" t="s">
        <f>=HYPERLINK("https://leilaoonline.com.br/lote/detalhe/58348", "MUT-103-2020 - APROX. 415 ITENS Lampada, Condulete E OUTROS- VEJA DESCRITIVO DE ITENS")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100.00</t>
        </is>
      </c>
    </row>
    <row collapsed="false" customFormat="false" customHeight="false" hidden="false" ht="12.1" outlineLevel="0" r="471">
      <c r="A471" s="5" t="s">
        <f>=HYPERLINK("https://leilaoonline.com.br/lote/detalhe/58349", "875")</f>
      </c>
      <c r="B471" s="4" t="s">
        <f>=HYPERLINK("https://leilaoonline.com.br/lote/detalhe/58349", "MUT-102-2020 APROX. 116 ITENS - COLUNA, MANGUEIRA E OUTROS- VEJA DESCRITIVO DE ITENS")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500,00</t>
        </is>
      </c>
      <c r="F471" s="4" t="inlineStr">
        <is>
          <t>100.00</t>
        </is>
      </c>
    </row>
    <row collapsed="false" customFormat="false" customHeight="false" hidden="false" ht="12.1" outlineLevel="0" r="472">
      <c r="A472" s="5" t="s">
        <f>=HYPERLINK("https://leilaoonline.com.br/lote/detalhe/58364", "876")</f>
      </c>
      <c r="B472" s="4" t="s">
        <f>=HYPERLINK("https://leilaoonline.com.br/lote/detalhe/58364", "MUT-101-2020 APROX. 31 ITENS - Mangueira E OUTROS- VEJA DESCRITIVO DE ITENS")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100.00</t>
        </is>
      </c>
    </row>
    <row collapsed="false" customFormat="false" customHeight="false" hidden="false" ht="12.1" outlineLevel="0" r="473">
      <c r="A473" s="5" t="s">
        <f>=HYPERLINK("https://leilaoonline.com.br/lote/detalhe/58366", "877")</f>
      </c>
      <c r="B473" s="4" t="s">
        <f>=HYPERLINK("https://leilaoonline.com.br/lote/detalhe/58366", "MUT-100-2020 - APROX. 116 ITENS JUNTA COMPONENTE, PARAFUSO E OUTROS- VEJA DESCRITIVO DE ITENS")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500,00</t>
        </is>
      </c>
      <c r="F473" s="4" t="inlineStr">
        <is>
          <t>100.00</t>
        </is>
      </c>
    </row>
    <row collapsed="false" customFormat="false" customHeight="false" hidden="false" ht="12.1" outlineLevel="0" r="474">
      <c r="A474" s="5" t="s">
        <f>=HYPERLINK("https://leilaoonline.com.br/lote/detalhe/58389", "878")</f>
      </c>
      <c r="B474" s="4" t="s">
        <f>=HYPERLINK("https://leilaoonline.com.br/lote/detalhe/58389", "MUT-099-2020 - APROX. 39.830 ABRACADEIRA, PARAFUSO E OUTROS- VEJA DESCRITIVO DE ITENS")</f>
      </c>
      <c r="C474" s="4" t="inlineStr">
        <is>
          <t>Vendido</t>
        </is>
      </c>
      <c r="D474" s="4" t="inlineStr">
        <is>
          <t>3</t>
        </is>
      </c>
      <c r="E474" s="5" t="inlineStr">
        <is>
          <t>700,00</t>
        </is>
      </c>
      <c r="F474" s="4" t="inlineStr">
        <is>
          <t>100.00</t>
        </is>
      </c>
    </row>
    <row collapsed="false" customFormat="false" customHeight="false" hidden="false" ht="12.1" outlineLevel="0" r="475">
      <c r="A475" s="5" t="s">
        <f>=HYPERLINK("https://leilaoonline.com.br/lote/detalhe/58390", "879")</f>
      </c>
      <c r="B475" s="4" t="s">
        <f>=HYPERLINK("https://leilaoonline.com.br/lote/detalhe/58390", "MUT-098-2020 - APROX. 1.690 ABRACADEIRA, ARRUELA E OUTROS- VEJA DESCRITIVO DE ITENS")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500,00</t>
        </is>
      </c>
      <c r="F475" s="4" t="inlineStr">
        <is>
          <t>100.00</t>
        </is>
      </c>
    </row>
    <row collapsed="false" customFormat="false" customHeight="false" hidden="false" ht="12.1" outlineLevel="0" r="476">
      <c r="A476" s="5" t="s">
        <f>=HYPERLINK("https://leilaoonline.com.br/lote/detalhe/58391", "880")</f>
      </c>
      <c r="B476" s="4" t="s">
        <f>=HYPERLINK("https://leilaoonline.com.br/lote/detalhe/58391", "MUT-097-2020 - APROX. 211 ITENS LAMPADA FLUORESCENTE, PROJETOR E OUTROS- VEJA DESCRITIVO DE ITENS")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100.00</t>
        </is>
      </c>
    </row>
    <row collapsed="false" customFormat="false" customHeight="false" hidden="false" ht="12.1" outlineLevel="0" r="477">
      <c r="A477" s="5" t="s">
        <f>=HYPERLINK("https://leilaoonline.com.br/lote/detalhe/58395", "900")</f>
      </c>
      <c r="B477" s="4" t="s">
        <f>=HYPERLINK("https://leilaoonline.com.br/lote/detalhe/58395", "MUT-084-2020-54 ITENS, ROLO TRANSPORTADOR, PLACA ELETRÔNICA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600,00</t>
        </is>
      </c>
      <c r="F477" s="4" t="inlineStr">
        <is>
          <t>100.00</t>
        </is>
      </c>
    </row>
    <row collapsed="false" customFormat="false" customHeight="false" hidden="false" ht="12.1" outlineLevel="0" r="478">
      <c r="A478" s="5" t="s">
        <f>=HYPERLINK("https://leilaoonline.com.br/lote/detalhe/58396", "901")</f>
      </c>
      <c r="B478" s="4" t="s">
        <f>=HYPERLINK("https://leilaoonline.com.br/lote/detalhe/58396", "MUT-086-2020-38 ITENS, PLACAS, DISJUNTORES E OUTROS- VEJA DESCRITIVO DE ITENS ")</f>
      </c>
      <c r="C478" s="4" t="inlineStr">
        <is>
          <t>Vendido</t>
        </is>
      </c>
      <c r="D478" s="4" t="inlineStr">
        <is>
          <t>17</t>
        </is>
      </c>
      <c r="E478" s="5" t="inlineStr">
        <is>
          <t>2.100,00</t>
        </is>
      </c>
      <c r="F478" s="4" t="inlineStr">
        <is>
          <t>250.00</t>
        </is>
      </c>
    </row>
    <row collapsed="false" customFormat="false" customHeight="false" hidden="false" ht="12.1" outlineLevel="0" r="479">
      <c r="A479" s="5" t="s">
        <f>=HYPERLINK("https://leilaoonline.com.br/lote/detalhe/58397", "902")</f>
      </c>
      <c r="B479" s="4" t="s">
        <f>=HYPERLINK("https://leilaoonline.com.br/lote/detalhe/58397", "MUT-087-2020- 45 ITENS, VALVULAS, BLOCOS, BOBINAS E OUTROS-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100.00</t>
        </is>
      </c>
    </row>
    <row collapsed="false" customFormat="false" customHeight="false" hidden="false" ht="12.1" outlineLevel="0" r="480">
      <c r="A480" s="5" t="s">
        <f>=HYPERLINK("https://leilaoonline.com.br/lote/detalhe/58398", "903")</f>
      </c>
      <c r="B480" s="4" t="s">
        <f>=HYPERLINK("https://leilaoonline.com.br/lote/detalhe/58398", "MUT-088-2020-81 ITENS, TRANSMISSOR, ELETRICOS-ELETRONICOS E OUTROS- VEJA DESCRITIVO DE ITENS ")</f>
      </c>
      <c r="C480" s="4" t="inlineStr">
        <is>
          <t>Vendido</t>
        </is>
      </c>
      <c r="D480" s="4" t="inlineStr">
        <is>
          <t>15</t>
        </is>
      </c>
      <c r="E480" s="5" t="inlineStr">
        <is>
          <t>1.900,00</t>
        </is>
      </c>
      <c r="F480" s="4" t="inlineStr">
        <is>
          <t>100.00</t>
        </is>
      </c>
    </row>
    <row collapsed="false" customFormat="false" customHeight="false" hidden="false" ht="12.1" outlineLevel="0" r="481">
      <c r="A481" s="5" t="s">
        <f>=HYPERLINK("https://leilaoonline.com.br/lote/detalhe/58399", "904")</f>
      </c>
      <c r="B481" s="4" t="s">
        <f>=HYPERLINK("https://leilaoonline.com.br/lote/detalhe/58399", "'MUT-089-2020- 172 ITENS, ACOPLADOR HIDRAULICO, PARAFUSOS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100.00</t>
        </is>
      </c>
    </row>
    <row collapsed="false" customFormat="false" customHeight="false" hidden="false" ht="12.1" outlineLevel="0" r="482">
      <c r="A482" s="5" t="s">
        <f>=HYPERLINK("https://leilaoonline.com.br/lote/detalhe/58400", "905")</f>
      </c>
      <c r="B482" s="4" t="s">
        <f>=HYPERLINK("https://leilaoonline.com.br/lote/detalhe/58400", "MUT-090-2020-789 ITENS, LAMPADAS, VALVULAS, ROTOR E OUTROS- VEJA DESCRITIVO DE ITENS ")</f>
      </c>
      <c r="C482" s="4" t="inlineStr">
        <is>
          <t>Vendido</t>
        </is>
      </c>
      <c r="D482" s="4" t="inlineStr">
        <is>
          <t>1</t>
        </is>
      </c>
      <c r="E482" s="5" t="inlineStr">
        <is>
          <t>500,00</t>
        </is>
      </c>
      <c r="F482" s="4" t="inlineStr">
        <is>
          <t>100.00</t>
        </is>
      </c>
    </row>
    <row collapsed="false" customFormat="false" customHeight="false" hidden="false" ht="12.1" outlineLevel="0" r="483">
      <c r="A483" s="5" t="s">
        <f>=HYPERLINK("https://leilaoonline.com.br/lote/detalhe/58401", "906")</f>
      </c>
      <c r="B483" s="4" t="s">
        <f>=HYPERLINK("https://leilaoonline.com.br/lote/detalhe/58401", "MUT-091-2020- 62 ITENS, CAIXA ROLAMENTO, LUVA BOMBA E OUTROS- VEJA DESCRITIVO DE ITENS 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500,00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=HYPERLINK("https://leilaoonline.com.br/lote/detalhe/58402", "907")</f>
      </c>
      <c r="B484" s="4" t="s">
        <f>=HYPERLINK("https://leilaoonline.com.br/lote/detalhe/58402", "MUT-092-2020- 111 ITENS, PINOS COMPONENTES, MODULO ADAPTADOR E OUTROS- VEJA DESCRITIVO DE ITENS 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100.00</t>
        </is>
      </c>
    </row>
    <row collapsed="false" customFormat="false" customHeight="false" hidden="false" ht="12.1" outlineLevel="0" r="485">
      <c r="A485" s="5" t="s">
        <f>=HYPERLINK("https://leilaoonline.com.br/lote/detalhe/58403", "908")</f>
      </c>
      <c r="B485" s="4" t="s">
        <f>=HYPERLINK("https://leilaoonline.com.br/lote/detalhe/58403", "MUT-093-2020- 253 ITENS, CABO ELETRICO, CONECTOR BARRA E OUTROS- VEJA DESCRITIVO DE ITENS ")</f>
      </c>
      <c r="C485" s="4" t="inlineStr">
        <is>
          <t>Não vendido</t>
        </is>
      </c>
      <c r="D485" s="4" t="inlineStr">
        <is>
          <t>1</t>
        </is>
      </c>
      <c r="E485" s="5" t="inlineStr">
        <is>
          <t>500,00</t>
        </is>
      </c>
      <c r="F485" s="4" t="inlineStr">
        <is>
          <t>100.00</t>
        </is>
      </c>
    </row>
    <row collapsed="false" customFormat="false" customHeight="false" hidden="false" ht="12.1" outlineLevel="0" r="486">
      <c r="A486" s="5" t="s">
        <f>=HYPERLINK("https://leilaoonline.com.br/lote/detalhe/58404", "909")</f>
      </c>
      <c r="B486" s="4" t="s">
        <f>=HYPERLINK("https://leilaoonline.com.br/lote/detalhe/58404", "MUT-094-2020- 54 ITENS, DISJUNTOR 16A, SENSOR E OUTROS - VEJA DESCRITIVO DE ITENS ")</f>
      </c>
      <c r="C486" s="4" t="inlineStr">
        <is>
          <t>Vendido</t>
        </is>
      </c>
      <c r="D486" s="4" t="inlineStr">
        <is>
          <t>26</t>
        </is>
      </c>
      <c r="E486" s="5" t="inlineStr">
        <is>
          <t>4.000,00</t>
        </is>
      </c>
      <c r="F486" s="4" t="inlineStr">
        <is>
          <t>200.00</t>
        </is>
      </c>
    </row>
    <row collapsed="false" customFormat="false" customHeight="false" hidden="false" ht="12.1" outlineLevel="0" r="487">
      <c r="A487" s="5" t="s">
        <f>=HYPERLINK("https://leilaoonline.com.br/lote/detalhe/58406", "911")</f>
      </c>
      <c r="B487" s="4" t="s">
        <f>=HYPERLINK("https://leilaoonline.com.br/lote/detalhe/58406", "MUT-096-2020- 161 ITENS, VEDACAO PLANA, RETENTORES E OUTROS - VEJA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100.00</t>
        </is>
      </c>
    </row>
    <row collapsed="false" customFormat="false" customHeight="false" hidden="false" ht="12.1" outlineLevel="0" r="488">
      <c r="A488" s="5" t="s">
        <f>=HYPERLINK("https://leilaoonline.com.br/lote/detalhe/58543", "912")</f>
      </c>
      <c r="B488" s="4" t="s">
        <f>=HYPERLINK("https://leilaoonline.com.br/lote/detalhe/58543", "082-113-2020- 7.922 ITENS, LUVA REDUÇÃO, ABRAÇADEIRA E OUTROS- VEJA DESCRITIVO DE ITENS ")</f>
      </c>
      <c r="C488" s="4" t="inlineStr">
        <is>
          <t>Vendido</t>
        </is>
      </c>
      <c r="D488" s="4" t="inlineStr">
        <is>
          <t>58</t>
        </is>
      </c>
      <c r="E488" s="5" t="inlineStr">
        <is>
          <t>13.500,00</t>
        </is>
      </c>
      <c r="F488" s="4" t="inlineStr">
        <is>
          <t>250.00</t>
        </is>
      </c>
    </row>
    <row collapsed="false" customFormat="false" customHeight="false" hidden="false" ht="12.1" outlineLevel="0" r="489">
      <c r="A489" s="5" t="s">
        <f>=HYPERLINK("https://leilaoonline.com.br/lote/detalhe/58544", "913")</f>
      </c>
      <c r="B489" s="4" t="s">
        <f>=HYPERLINK("https://leilaoonline.com.br/lote/detalhe/58544", "082-114-2020- 2890 ITENS, ROLETE COMPONENETE, MOLA COMPONENTE E OUTROS- VEJA DESCRITIVO DE ITENS ")</f>
      </c>
      <c r="C489" s="4" t="inlineStr">
        <is>
          <t>Não vendido</t>
        </is>
      </c>
      <c r="D489" s="4" t="inlineStr">
        <is>
          <t>4</t>
        </is>
      </c>
      <c r="E489" s="5" t="inlineStr">
        <is>
          <t>900,00</t>
        </is>
      </c>
      <c r="F489" s="4" t="inlineStr">
        <is>
          <t>100.00</t>
        </is>
      </c>
    </row>
    <row collapsed="false" customFormat="false" customHeight="false" hidden="false" ht="12.1" outlineLevel="0" r="490">
      <c r="A490" s="5" t="s">
        <f>=HYPERLINK("https://leilaoonline.com.br/lote/detalhe/58549", "917")</f>
      </c>
      <c r="B490" s="4" t="s">
        <f>=HYPERLINK("https://leilaoonline.com.br/lote/detalhe/58549", "CKS-MRO-027-2020- 866 ITENS, GRADE ELASTICA METALFLEX, CONE ROLAMENTO E OUTROS- VEJA DESCRITIVO DE ITENS ")</f>
      </c>
      <c r="C490" s="4" t="inlineStr">
        <is>
          <t>Não vendido</t>
        </is>
      </c>
      <c r="D490" s="4" t="inlineStr">
        <is>
          <t>8</t>
        </is>
      </c>
      <c r="E490" s="5" t="inlineStr">
        <is>
          <t>1.200,00</t>
        </is>
      </c>
      <c r="F490" s="4" t="inlineStr">
        <is>
          <t>100.00</t>
        </is>
      </c>
    </row>
    <row collapsed="false" customFormat="false" customHeight="false" hidden="false" ht="12.1" outlineLevel="0" r="491">
      <c r="A491" s="5" t="s">
        <f>=HYPERLINK("https://leilaoonline.com.br/lote/detalhe/58551", "918")</f>
      </c>
      <c r="B491" s="4" t="s">
        <f>=HYPERLINK("https://leilaoonline.com.br/lote/detalhe/58551", "MUT-106-2020-349 ITENS, BUCHA, TRASNDUTOR, JUNTA COMPONENTE E OUTRO- VEJA DESCRITIVO DE ITENS 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500,00</t>
        </is>
      </c>
      <c r="F491" s="4" t="inlineStr">
        <is>
          <t>100.00</t>
        </is>
      </c>
    </row>
    <row collapsed="false" customFormat="false" customHeight="false" hidden="false" ht="12.1" outlineLevel="0" r="492">
      <c r="A492" s="5" t="s">
        <f>=HYPERLINK("https://leilaoonline.com.br/lote/detalhe/58552", "919")</f>
      </c>
      <c r="B492" s="4" t="s">
        <f>=HYPERLINK("https://leilaoonline.com.br/lote/detalhe/58552", "MUT-107-2020-556 ITENS, PINO APLICAÇÃO,PINO CILINDRICO E OUTROS- VEJA DESCRITIVO DE ITENS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500,00</t>
        </is>
      </c>
      <c r="F492" s="4" t="inlineStr">
        <is>
          <t>100.00</t>
        </is>
      </c>
    </row>
    <row collapsed="false" customFormat="false" customHeight="false" hidden="false" ht="12.1" outlineLevel="0" r="493">
      <c r="A493" s="5" t="s">
        <f>=HYPERLINK("https://leilaoonline.com.br/lote/detalhe/58555", "920")</f>
      </c>
      <c r="B493" s="4" t="s">
        <f>=HYPERLINK("https://leilaoonline.com.br/lote/detalhe/58555", "MUT-108-2020- 116 ITENS, VEDACAO PLANA, ELEMENTO FILT. FLUID E OUTROS- VEJA DESCRITIVO DE ITENS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500,00</t>
        </is>
      </c>
      <c r="F493" s="4" t="inlineStr">
        <is>
          <t>100.00</t>
        </is>
      </c>
    </row>
    <row collapsed="false" customFormat="false" customHeight="false" hidden="false" ht="12.1" outlineLevel="0" r="494">
      <c r="A494" s="5" t="s">
        <f>=HYPERLINK("https://leilaoonline.com.br/lote/detalhe/58562", "921")</f>
      </c>
      <c r="B494" s="4" t="s">
        <f>=HYPERLINK("https://leilaoonline.com.br/lote/detalhe/58562", "MUT-109-2020- 80 ITENS, VEDACAO PLANA, ACOPLAMENTO ELASTICO E OUTROS- VEJA DESCCRITIVO DE ITENS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500,00</t>
        </is>
      </c>
      <c r="F494" s="4" t="inlineStr">
        <is>
          <t>100.00</t>
        </is>
      </c>
    </row>
    <row collapsed="false" customFormat="false" customHeight="false" hidden="false" ht="12.1" outlineLevel="0" r="495">
      <c r="A495" s="5" t="s">
        <f>=HYPERLINK("https://leilaoonline.com.br/lote/detalhe/58563", "922")</f>
      </c>
      <c r="B495" s="4" t="s">
        <f>=HYPERLINK("https://leilaoonline.com.br/lote/detalhe/58563", "MUT-110-2020- 143 ITENS,LAMINA RASPADOR, ABRACADEIRA  E OUTROS- VEJA DESCRITIVO DE ITENS 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500,00</t>
        </is>
      </c>
      <c r="F495" s="4" t="inlineStr">
        <is>
          <t>100.00</t>
        </is>
      </c>
    </row>
    <row collapsed="false" customFormat="false" customHeight="false" hidden="false" ht="12.1" outlineLevel="0" r="496">
      <c r="A496" s="5" t="s">
        <f>=HYPERLINK("https://leilaoonline.com.br/lote/detalhe/58564", "923")</f>
      </c>
      <c r="B496" s="4" t="s">
        <f>=HYPERLINK("https://leilaoonline.com.br/lote/detalhe/58564", "MUT-111-2020- 138 ITENS, DISJUNTOR 7A, SUPORTE BORRACHA E OUTROS- VEJA DESCRITIVO DE ITENS ")</f>
      </c>
      <c r="C496" s="4" t="inlineStr">
        <is>
          <t>Vendido</t>
        </is>
      </c>
      <c r="D496" s="4" t="inlineStr">
        <is>
          <t>5</t>
        </is>
      </c>
      <c r="E496" s="5" t="inlineStr">
        <is>
          <t>900,00</t>
        </is>
      </c>
      <c r="F496" s="4" t="inlineStr">
        <is>
          <t>100.00</t>
        </is>
      </c>
    </row>
    <row collapsed="false" customFormat="false" customHeight="false" hidden="false" ht="12.1" outlineLevel="0" r="497">
      <c r="A497" s="5" t="s">
        <f>=HYPERLINK("https://leilaoonline.com.br/lote/detalhe/58565", "924")</f>
      </c>
      <c r="B497" s="4" t="s">
        <f>=HYPERLINK("https://leilaoonline.com.br/lote/detalhe/58565", "MUT-112-2020- 433 ITENS, BOBINA SOLENOID, PARAFUSOS, FUSIVEIS E OUTROS - VEJA DESCRITIVO DE ITENS ")</f>
      </c>
      <c r="C497" s="4" t="inlineStr">
        <is>
          <t>Vendido</t>
        </is>
      </c>
      <c r="D497" s="4" t="inlineStr">
        <is>
          <t>2</t>
        </is>
      </c>
      <c r="E497" s="5" t="inlineStr">
        <is>
          <t>600,00</t>
        </is>
      </c>
      <c r="F497" s="4" t="inlineStr">
        <is>
          <t>100.00</t>
        </is>
      </c>
    </row>
    <row collapsed="false" customFormat="false" customHeight="false" hidden="false" ht="12.1" outlineLevel="0" r="498">
      <c r="A498" s="5" t="s">
        <f>=HYPERLINK("https://leilaoonline.com.br/lote/detalhe/58566", "925")</f>
      </c>
      <c r="B498" s="4" t="s">
        <f>=HYPERLINK("https://leilaoonline.com.br/lote/detalhe/58566", "MUT-113-2020- 319 ITENS, VEDACAO PLANA, MANGUEIRA MONTADA E OUTROS- VEJA DESCRITIVO DE ITENS 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500,00</t>
        </is>
      </c>
      <c r="F498" s="4" t="inlineStr">
        <is>
          <t>100.00</t>
        </is>
      </c>
    </row>
    <row collapsed="false" customFormat="false" customHeight="false" hidden="false" ht="12.1" outlineLevel="0" r="499">
      <c r="A499" s="5" t="s">
        <f>=HYPERLINK("https://leilaoonline.com.br/lote/detalhe/58567", "926")</f>
      </c>
      <c r="B499" s="4" t="s">
        <f>=HYPERLINK("https://leilaoonline.com.br/lote/detalhe/58567", "MUT-114-2020- 118 ITENS, ANEIS, VALVULAS, FUSIVEIS E OUTROS- VEJA DESCRITIVO DE ITENS ")</f>
      </c>
      <c r="C499" s="4" t="inlineStr">
        <is>
          <t>Vendido</t>
        </is>
      </c>
      <c r="D499" s="4" t="inlineStr">
        <is>
          <t>7</t>
        </is>
      </c>
      <c r="E499" s="5" t="inlineStr">
        <is>
          <t>1.200,00</t>
        </is>
      </c>
      <c r="F499" s="4" t="inlineStr">
        <is>
          <t>200.00</t>
        </is>
      </c>
    </row>
    <row collapsed="false" customFormat="false" customHeight="false" hidden="false" ht="12.1" outlineLevel="0" r="500">
      <c r="A500" s="5" t="s">
        <f>=HYPERLINK("https://leilaoonline.com.br/lote/detalhe/58568", "927")</f>
      </c>
      <c r="B500" s="4" t="s">
        <f>=HYPERLINK("https://leilaoonline.com.br/lote/detalhe/58568", "MUT-115-2020 - 208 ITENS, TRANSFORMADOR POT 480V, BLOCO CONTATO AUX INSTANTANEO   E OUTROS- VEJA DESCRITIVO DE ITENS 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100.00</t>
        </is>
      </c>
    </row>
    <row collapsed="false" customFormat="false" customHeight="false" hidden="false" ht="12.1" outlineLevel="0" r="501">
      <c r="A501" s="5" t="s">
        <f>=HYPERLINK("https://leilaoonline.com.br/lote/detalhe/58428", "1013")</f>
      </c>
      <c r="B501" s="4" t="s">
        <f>=HYPERLINK("https://leilaoonline.com.br/lote/detalhe/58428", "PIC-257-2020 - APROX. 584 ITENS VALVULA, FILTRO E OUTROS- VEJA DESCRITIVO DE ITENS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1.400,00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=HYPERLINK("https://leilaoonline.com.br/lote/detalhe/58438", "1015")</f>
      </c>
      <c r="B502" s="4" t="s">
        <f>=HYPERLINK("https://leilaoonline.com.br/lote/detalhe/58438", "PIC-261-2020 - APROX. 469 ITENS PARTES E PECAS EQUIPAMENTOS DIVERSOS, RETENTOR E OUTROS- VEJA DESCRITIVO DE ITENS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1.600,00</t>
        </is>
      </c>
      <c r="F502" s="4" t="inlineStr">
        <is>
          <t>200.00</t>
        </is>
      </c>
    </row>
    <row collapsed="false" customFormat="false" customHeight="false" hidden="false" ht="12.1" outlineLevel="0" r="503">
      <c r="A503" s="5" t="s">
        <f>=HYPERLINK("https://leilaoonline.com.br/lote/detalhe/58534", "1016")</f>
      </c>
      <c r="B503" s="4" t="s">
        <f>=HYPERLINK("https://leilaoonline.com.br/lote/detalhe/58534", "SLS-MRO-040-2020 - APROX. 18.300 ITENS FILTRO FLUIDO AR, ROLAMENTO ROLOS E OUTROS- VEJA DESCRITIVO DE ITENS ")</f>
      </c>
      <c r="C503" s="4" t="inlineStr">
        <is>
          <t>Não vendido</t>
        </is>
      </c>
      <c r="D503" s="4" t="inlineStr">
        <is>
          <t>6</t>
        </is>
      </c>
      <c r="E503" s="5" t="inlineStr">
        <is>
          <t>1.100,00</t>
        </is>
      </c>
      <c r="F503" s="4" t="inlineStr">
        <is>
          <t>200.00</t>
        </is>
      </c>
    </row>
    <row collapsed="false" customFormat="false" customHeight="false" hidden="false" ht="12.1" outlineLevel="0" r="504">
      <c r="A504" s="5" t="s">
        <f>=HYPERLINK("https://leilaoonline.com.br/lote/detalhe/58542", "1017")</f>
      </c>
      <c r="B504" s="4" t="s">
        <f>=HYPERLINK("https://leilaoonline.com.br/lote/detalhe/58542", "SLS-MRO-041-2020 - APROX. 590 ITENS - CABECOTE, ARAME ACO CARBONO E OUTROS- VEJA DESCRITIVO DE ITENS ")</f>
      </c>
      <c r="C504" s="4" t="inlineStr">
        <is>
          <t>Não vendido</t>
        </is>
      </c>
      <c r="D504" s="4" t="inlineStr">
        <is>
          <t>5</t>
        </is>
      </c>
      <c r="E504" s="5" t="inlineStr">
        <is>
          <t>1.000,00</t>
        </is>
      </c>
      <c r="F504" s="4" t="inlineStr">
        <is>
          <t>100.00</t>
        </is>
      </c>
    </row>
    <row collapsed="false" customFormat="false" customHeight="false" hidden="false" ht="12.1" outlineLevel="0" r="505">
      <c r="A505" s="5" t="s">
        <f>=HYPERLINK("https://leilaoonline.com.br/lote/detalhe/58547", "1018")</f>
      </c>
      <c r="B505" s="4" t="s">
        <f>=HYPERLINK("https://leilaoonline.com.br/lote/detalhe/58547", "SLS-MRO-042-2020 - 23 ITENS RODA GUIA, ACOPLAMENTO, CABO AÇO - VEJA DESCRITIVO DE ITENS ")</f>
      </c>
      <c r="C505" s="4" t="inlineStr">
        <is>
          <t>Não vendido</t>
        </is>
      </c>
      <c r="D505" s="4" t="inlineStr">
        <is>
          <t>27</t>
        </is>
      </c>
      <c r="E505" s="5" t="inlineStr">
        <is>
          <t>6.800,00</t>
        </is>
      </c>
      <c r="F505" s="4" t="inlineStr">
        <is>
          <t>300.00</t>
        </is>
      </c>
    </row>
    <row collapsed="false" customFormat="false" customHeight="false" hidden="false" ht="12.1" outlineLevel="0" r="506">
      <c r="A506" s="5" t="s">
        <f>=HYPERLINK("https://leilaoonline.com.br/lote/detalhe/58554", "1019")</f>
      </c>
      <c r="B506" s="4" t="s">
        <f>=HYPERLINK("https://leilaoonline.com.br/lote/detalhe/58554", "SLS-MRO-043-2020 - APROX. 102 ITENS - CAÇAMBA, CAVALETE - VEJA DESCRITIVO DE ITENS - VEJA DESCRITIVO DE ITENS ")</f>
      </c>
      <c r="C506" s="4" t="inlineStr">
        <is>
          <t>Não vendido</t>
        </is>
      </c>
      <c r="D506" s="4" t="inlineStr">
        <is>
          <t>29</t>
        </is>
      </c>
      <c r="E506" s="5" t="inlineStr">
        <is>
          <t>5.400,00</t>
        </is>
      </c>
      <c r="F506" s="4" t="inlineStr">
        <is>
          <t>300.00</t>
        </is>
      </c>
    </row>
    <row collapsed="false" customFormat="false" customHeight="false" hidden="false" ht="12.1" outlineLevel="0" r="507">
      <c r="A507" s="5" t="s">
        <f>=HYPERLINK("https://leilaoonline.com.br/lote/detalhe/58557", "1020")</f>
      </c>
      <c r="B507" s="4" t="s">
        <f>=HYPERLINK("https://leilaoonline.com.br/lote/detalhe/58557", "SLS-MRO-114-2020 - APROX. 1.523 ITENS - DISCO COMPONENTE, MANGUEIRA E OUTROS- VEJA DESCRITIVO DE ITENS ")</f>
      </c>
      <c r="C507" s="4" t="inlineStr">
        <is>
          <t>Não vendido</t>
        </is>
      </c>
      <c r="D507" s="4" t="inlineStr">
        <is>
          <t>4</t>
        </is>
      </c>
      <c r="E507" s="5" t="inlineStr">
        <is>
          <t>1.000,00</t>
        </is>
      </c>
      <c r="F507" s="4" t="inlineStr">
        <is>
          <t>100.00</t>
        </is>
      </c>
    </row>
    <row collapsed="false" customFormat="false" customHeight="false" hidden="false" ht="12.1" outlineLevel="0" r="508">
      <c r="A508" s="5" t="s">
        <f>=HYPERLINK("https://leilaoonline.com.br/lote/detalhe/58558", "1021")</f>
      </c>
      <c r="B508" s="4" t="s">
        <f>=HYPERLINK("https://leilaoonline.com.br/lote/detalhe/58558", "SLS-MRO-115-2020 - APROX. 140 ITENS - ROLAMENTO, RODA COMPONENTE E OUTROS- VEJA DESCRITIVO DE ITENS ")</f>
      </c>
      <c r="C508" s="4" t="inlineStr">
        <is>
          <t>Não vendido</t>
        </is>
      </c>
      <c r="D508" s="4" t="inlineStr">
        <is>
          <t>21</t>
        </is>
      </c>
      <c r="E508" s="5" t="inlineStr">
        <is>
          <t>6.000,00</t>
        </is>
      </c>
      <c r="F508" s="4" t="inlineStr">
        <is>
          <t>250.00</t>
        </is>
      </c>
    </row>
    <row collapsed="false" customFormat="false" customHeight="false" hidden="false" ht="12.1" outlineLevel="0" r="509">
      <c r="A509" s="5" t="s">
        <f>=HYPERLINK("https://leilaoonline.com.br/lote/detalhe/58559", "1022")</f>
      </c>
      <c r="B509" s="4" t="s">
        <f>=HYPERLINK("https://leilaoonline.com.br/lote/detalhe/58559", "SLS-MRO-117-2020 - APROX. 140 ITENS - CONJUNTO HASTE/PISTAO, EMBREAGEM E OUTROS- VEJA DESCRITIVO DE ITENS 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800,00</t>
        </is>
      </c>
      <c r="F509" s="4" t="inlineStr">
        <is>
          <t>100.00</t>
        </is>
      </c>
    </row>
    <row collapsed="false" customFormat="false" customHeight="false" hidden="false" ht="12.1" outlineLevel="0" r="510">
      <c r="A510" s="5" t="s">
        <f>=HYPERLINK("https://leilaoonline.com.br/lote/detalhe/58560", "1023")</f>
      </c>
      <c r="B510" s="4" t="s">
        <f>=HYPERLINK("https://leilaoonline.com.br/lote/detalhe/58560", "MUT-117-2020 - APROX.  87 ITENS - VALVULA, RETENTOR E OUTROS- VEJA DESCRITIVO DE ITENS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500,00</t>
        </is>
      </c>
      <c r="F510" s="4" t="inlineStr">
        <is>
          <t>100.00</t>
        </is>
      </c>
    </row>
    <row collapsed="false" customFormat="false" customHeight="false" hidden="false" ht="12.1" outlineLevel="0" r="511">
      <c r="A511" s="5" t="s">
        <f>=HYPERLINK("https://leilaoonline.com.br/lote/detalhe/58561", "1024")</f>
      </c>
      <c r="B511" s="4" t="s">
        <f>=HYPERLINK("https://leilaoonline.com.br/lote/detalhe/58561", "MUT-116-2020 - APROX. 37 ITENS - ROLAMENTO, MOTOR E OUTROS- VEJA DESCRITIVO DE ITENS ")</f>
      </c>
      <c r="C511" s="4" t="inlineStr">
        <is>
          <t>Vendido</t>
        </is>
      </c>
      <c r="D511" s="4" t="inlineStr">
        <is>
          <t>11</t>
        </is>
      </c>
      <c r="E511" s="5" t="inlineStr">
        <is>
          <t>1.700,00</t>
        </is>
      </c>
      <c r="F5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2026-04-18T22:51:24.00Z</dcterms:created>
  <dc:creator>Tellks Tecnologia</dc:creator>
  <cp:revision>0</cp:revision>
</cp:coreProperties>
</file>